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6" windowWidth="11340" windowHeight="78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4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глава старая которая раньше была сама по себе отдельно</t>
        </r>
      </text>
    </comment>
    <comment ref="H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20%
</t>
        </r>
      </text>
    </comment>
    <comment ref="I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25%</t>
        </r>
      </text>
    </comment>
    <comment ref="J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25%
</t>
        </r>
      </text>
    </comment>
    <comment ref="K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30%</t>
        </r>
      </text>
    </comment>
  </commentList>
</comments>
</file>

<file path=xl/sharedStrings.xml><?xml version="1.0" encoding="utf-8"?>
<sst xmlns="http://schemas.openxmlformats.org/spreadsheetml/2006/main" count="2817" uniqueCount="484">
  <si>
    <t>I</t>
  </si>
  <si>
    <t>II</t>
  </si>
  <si>
    <t>III</t>
  </si>
  <si>
    <t>IV</t>
  </si>
  <si>
    <t>Код</t>
  </si>
  <si>
    <t>Наименование</t>
  </si>
  <si>
    <t>целевой статьи</t>
  </si>
  <si>
    <t>вида расходов</t>
  </si>
  <si>
    <t>(тыс.рублей)</t>
  </si>
  <si>
    <t>Итого расходов</t>
  </si>
  <si>
    <t>РОСПИСЬ РАСХОДОВ</t>
  </si>
  <si>
    <t>УТВЕРЖДЕНО</t>
  </si>
  <si>
    <t>(наименование главного распорядителя средств городского бюджета)</t>
  </si>
  <si>
    <t>(текущий финансовый год )</t>
  </si>
  <si>
    <t>Свод по управлению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</si>
  <si>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</si>
  <si>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</si>
  <si>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</si>
  <si>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</si>
  <si>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</si>
  <si>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</si>
  <si>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</si>
  <si>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</si>
  <si>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в том числе</t>
  </si>
  <si>
    <t>тепло</t>
  </si>
  <si>
    <t>свет</t>
  </si>
  <si>
    <t>вода</t>
  </si>
  <si>
    <t>услуги по содержанию помещения</t>
  </si>
  <si>
    <t>содержание помещения</t>
  </si>
  <si>
    <t>ремонт здания</t>
  </si>
  <si>
    <t>прочие услуги</t>
  </si>
  <si>
    <t>прочие расходы</t>
  </si>
  <si>
    <t>социальное обеспечения</t>
  </si>
  <si>
    <t>поступление нефинансовых активов</t>
  </si>
  <si>
    <t>увеличение ст-ти основных средств</t>
  </si>
  <si>
    <t>увел. ст-ти материальных запасов</t>
  </si>
  <si>
    <t>ГСМ</t>
  </si>
  <si>
    <t>хозяйственные расходы</t>
  </si>
  <si>
    <t>Глава муниципального образования</t>
  </si>
  <si>
    <t>0102</t>
  </si>
  <si>
    <t>500</t>
  </si>
  <si>
    <t>210</t>
  </si>
  <si>
    <t>211</t>
  </si>
  <si>
    <t>212</t>
  </si>
  <si>
    <t>213</t>
  </si>
  <si>
    <t>Администрация</t>
  </si>
  <si>
    <t>0104</t>
  </si>
  <si>
    <t>220</t>
  </si>
  <si>
    <t>221</t>
  </si>
  <si>
    <t>222</t>
  </si>
  <si>
    <t>223</t>
  </si>
  <si>
    <t>225</t>
  </si>
  <si>
    <t>226</t>
  </si>
  <si>
    <t>290</t>
  </si>
  <si>
    <t>262</t>
  </si>
  <si>
    <t>300</t>
  </si>
  <si>
    <t>310</t>
  </si>
  <si>
    <t>340</t>
  </si>
  <si>
    <t>340 4</t>
  </si>
  <si>
    <t>Свод Совет народных депутатов</t>
  </si>
  <si>
    <t>0103</t>
  </si>
  <si>
    <t>Резервный фонд администрации</t>
  </si>
  <si>
    <t>Расходы за счет субвенции на осуществление полномочий по первичному воинскому учету на территориях где отсутствуют военные комиссариаты</t>
  </si>
  <si>
    <t>0203</t>
  </si>
  <si>
    <t>Жилищно-коммунальное хозяйство</t>
  </si>
  <si>
    <t>0500</t>
  </si>
  <si>
    <t>000</t>
  </si>
  <si>
    <t>242</t>
  </si>
  <si>
    <t>Коммунальное хозяйство</t>
  </si>
  <si>
    <t>0502</t>
  </si>
  <si>
    <t>0503</t>
  </si>
  <si>
    <t>241</t>
  </si>
  <si>
    <t>Свод Образование</t>
  </si>
  <si>
    <t>ремонт оборудования</t>
  </si>
  <si>
    <t>капитальный ремонт</t>
  </si>
  <si>
    <t>содержание тревожной кнопки</t>
  </si>
  <si>
    <t>содержание АПС</t>
  </si>
  <si>
    <t>медикаменты</t>
  </si>
  <si>
    <t>прочие текущие расходы</t>
  </si>
  <si>
    <t>0707</t>
  </si>
  <si>
    <t>Свод по Культуре</t>
  </si>
  <si>
    <t>0801</t>
  </si>
  <si>
    <t>1003</t>
  </si>
  <si>
    <t>251</t>
  </si>
  <si>
    <t>перечисления другим бюджетам бюджетной системы РФ</t>
  </si>
  <si>
    <t>ИТОГО ПО ГОРОДУ</t>
  </si>
  <si>
    <t>ЖКХ</t>
  </si>
  <si>
    <t>приобретение оборудования</t>
  </si>
  <si>
    <t>703</t>
  </si>
  <si>
    <t>0505</t>
  </si>
  <si>
    <t>Свод по ЖКХ</t>
  </si>
  <si>
    <t>безвозмездные поступления</t>
  </si>
  <si>
    <t>Пенсионное обеспечение</t>
  </si>
  <si>
    <t>1001</t>
  </si>
  <si>
    <t>доплата к пенсии муниципальным служащим</t>
  </si>
  <si>
    <t>263</t>
  </si>
  <si>
    <t>Содержание аппарата СНД</t>
  </si>
  <si>
    <t>увеличение стоимости основных  средств</t>
  </si>
  <si>
    <t>увеличение стоимости материальных запасов</t>
  </si>
  <si>
    <t>0111</t>
  </si>
  <si>
    <t>тревожная кнопка</t>
  </si>
  <si>
    <t>1101</t>
  </si>
  <si>
    <t>120</t>
  </si>
  <si>
    <t>121</t>
  </si>
  <si>
    <t>611</t>
  </si>
  <si>
    <t>241/225</t>
  </si>
  <si>
    <t>241/226</t>
  </si>
  <si>
    <t>социальные выплаты</t>
  </si>
  <si>
    <t>122</t>
  </si>
  <si>
    <t>244</t>
  </si>
  <si>
    <t>240</t>
  </si>
  <si>
    <t>пробретение услуг</t>
  </si>
  <si>
    <t>870</t>
  </si>
  <si>
    <t>110</t>
  </si>
  <si>
    <t>111</t>
  </si>
  <si>
    <t>0309</t>
  </si>
  <si>
    <t>межбюджетные трансферты</t>
  </si>
  <si>
    <t>Национальная экономика</t>
  </si>
  <si>
    <t>0409</t>
  </si>
  <si>
    <t>112</t>
  </si>
  <si>
    <t>851</t>
  </si>
  <si>
    <t>610</t>
  </si>
  <si>
    <t>612</t>
  </si>
  <si>
    <t>241/210</t>
  </si>
  <si>
    <t>241/211</t>
  </si>
  <si>
    <t>241/212</t>
  </si>
  <si>
    <t>241/213</t>
  </si>
  <si>
    <t>241/220</t>
  </si>
  <si>
    <t>241/221</t>
  </si>
  <si>
    <t>241/222</t>
  </si>
  <si>
    <t>241/223</t>
  </si>
  <si>
    <t>241/262</t>
  </si>
  <si>
    <t>241/290</t>
  </si>
  <si>
    <t>241/300</t>
  </si>
  <si>
    <t>241/310</t>
  </si>
  <si>
    <t>241/340</t>
  </si>
  <si>
    <t>321</t>
  </si>
  <si>
    <t>1102</t>
  </si>
  <si>
    <t>0113</t>
  </si>
  <si>
    <t>852</t>
  </si>
  <si>
    <t>Другие вопросы в области ЖКХ</t>
  </si>
  <si>
    <t>0700</t>
  </si>
  <si>
    <t>200</t>
  </si>
  <si>
    <t>услуги по содержанию имущества</t>
  </si>
  <si>
    <t>100</t>
  </si>
  <si>
    <t>800</t>
  </si>
  <si>
    <t>Жилищное хозяйство</t>
  </si>
  <si>
    <t>0501</t>
  </si>
  <si>
    <t>безвозмездные и безвозвратные перечисления</t>
  </si>
  <si>
    <t>600</t>
  </si>
  <si>
    <t>Межбюджетные трансферты</t>
  </si>
  <si>
    <t>540</t>
  </si>
  <si>
    <t>Администрация города Карабаново</t>
  </si>
  <si>
    <t>услуги по содержанию</t>
  </si>
  <si>
    <t>раздела,  подраздела</t>
  </si>
  <si>
    <t>9990000110</t>
  </si>
  <si>
    <t>9990001110</t>
  </si>
  <si>
    <t>Дополнит.эк. классиф.</t>
  </si>
  <si>
    <t>9990000190</t>
  </si>
  <si>
    <t>9990020010</t>
  </si>
  <si>
    <t>0200020020</t>
  </si>
  <si>
    <t>Расходы на определение рыночной стоимости муниципального имущества путём независимой оценки муниципального имущества и оценки аренды муниципального имущества МО г.Карабаново</t>
  </si>
  <si>
    <t>0200120020</t>
  </si>
  <si>
    <t>Расходы на технические паспорта и технические планы объектов недвижимости МО г.Карабаново</t>
  </si>
  <si>
    <t>0100020010</t>
  </si>
  <si>
    <t>0100120010</t>
  </si>
  <si>
    <t>0100220010</t>
  </si>
  <si>
    <t>Расходы на осуществление государственного кадастрового учета земельных участков</t>
  </si>
  <si>
    <t>9990051180</t>
  </si>
  <si>
    <t>Национальная безопасность и правоохранительная деятельность</t>
  </si>
  <si>
    <t>1700120170</t>
  </si>
  <si>
    <t>1700020170</t>
  </si>
  <si>
    <t>03</t>
  </si>
  <si>
    <t>0000000000</t>
  </si>
  <si>
    <t>Межбюджетные трансферты на передачу части полномочий, на объединение финансовых средств, для создания аварийно-спасательного формирования в МО Александровский район</t>
  </si>
  <si>
    <t>0300020030</t>
  </si>
  <si>
    <t>Расходы на ремонт дорожного покрытия и объектов благоустройства улично-дорожной сети МО г.Карабаново</t>
  </si>
  <si>
    <t>0300120030</t>
  </si>
  <si>
    <t>Расходы на технический надзор за осуществлением ремонта дорожного покрытия и объектов благоустройства улично-дорожной сети МО г.Карабаново</t>
  </si>
  <si>
    <t>0300220030</t>
  </si>
  <si>
    <t>Расходы на содержание автомобильных дорог МО г.Карабаново и включающих в себя механическую и ручную очистку дорожного полотно и обочин, посыпку дорог пескосоляными смесями и противогололёдными реагентами, полив проезжей части</t>
  </si>
  <si>
    <t>0400020040</t>
  </si>
  <si>
    <t>0400120040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</si>
  <si>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заключёнными соглашениями, для обеспечения инженерной и транспортной инфраструктуры земельных участков, передаваемых многодетным семьям</t>
  </si>
  <si>
    <t>999001Ж020</t>
  </si>
  <si>
    <t>Расходы на капитальный ремонт жилого фонда, находящегося в муниципальной собственности</t>
  </si>
  <si>
    <t>9990020050</t>
  </si>
  <si>
    <t>Субсидии некоммерческим организациям на обеспечение мероприятий по ремонту многоквартирных домов</t>
  </si>
  <si>
    <t>9990009601</t>
  </si>
  <si>
    <t>630</t>
  </si>
  <si>
    <t>Благоустройство</t>
  </si>
  <si>
    <t>Расходы на содержание скверов,аллей площадей, пешеходных зон, включающих в себя механическую и ручную уборку, подметание, вывоз снега, россыпь противогололёдных реагентов, полив пешеходных зон и  тротуаров</t>
  </si>
  <si>
    <t>0800020080</t>
  </si>
  <si>
    <t>0800120080</t>
  </si>
  <si>
    <t>Расходы на озеленение (посадку зелёных насаждений) в городе Карабаново</t>
  </si>
  <si>
    <t>0800220080</t>
  </si>
  <si>
    <t>0900020090</t>
  </si>
  <si>
    <t>0900120090</t>
  </si>
  <si>
    <t>9990020060</t>
  </si>
  <si>
    <t>1100020110</t>
  </si>
  <si>
    <t>Расходы на выплаты по оплатетруда работников  МКУ"Дирекция жизнеобеспечения населения" города Карабаново</t>
  </si>
  <si>
    <t>1100120110</t>
  </si>
  <si>
    <t>Расходы на оплату услуг по содержанию здания и имущества</t>
  </si>
  <si>
    <t>1100220110</t>
  </si>
  <si>
    <t>1100320110</t>
  </si>
  <si>
    <t>Расходы на оплату налогов, сборов, штрафов и пеней</t>
  </si>
  <si>
    <t>850</t>
  </si>
  <si>
    <t>1100420110</t>
  </si>
  <si>
    <t>1100520110</t>
  </si>
  <si>
    <t>Расходы на приобретение горюче-смазочных материалов</t>
  </si>
  <si>
    <t>1100620110</t>
  </si>
  <si>
    <t>1100720110</t>
  </si>
  <si>
    <t>Хозяйственные расходы</t>
  </si>
  <si>
    <t>Расходы на оплату прочих работ, услуг, которые не относятся к услугам по содержанию имущества</t>
  </si>
  <si>
    <t>Расходы на увеличение стоимости основных средств</t>
  </si>
  <si>
    <t>1200020120</t>
  </si>
  <si>
    <t>Расходы на проведение городских мероприятий, праздников, фестивалей, выставок и конкурсов для детей и молодёжи</t>
  </si>
  <si>
    <t>1300020130</t>
  </si>
  <si>
    <t>1300120130</t>
  </si>
  <si>
    <t>Расходы на комплектование книжного фонда</t>
  </si>
  <si>
    <t>1300220130</t>
  </si>
  <si>
    <t>1300320130</t>
  </si>
  <si>
    <t>Расходы на ремонт фасада здания Дома культуры</t>
  </si>
  <si>
    <t>1300420130</t>
  </si>
  <si>
    <t>Субсидии на финансовое обеспечение муниципального задания на оказание муниципальных услуг (выполнение работ) МБУК Дом культуры города Карабаново</t>
  </si>
  <si>
    <t>1300520130</t>
  </si>
  <si>
    <t>Социальная политика</t>
  </si>
  <si>
    <t>10</t>
  </si>
  <si>
    <t>9990020070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</si>
  <si>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для обеспечения жильем молодые семьи</t>
  </si>
  <si>
    <t>999001Ж010</t>
  </si>
  <si>
    <t>Социальное обеспечение населения</t>
  </si>
  <si>
    <t>Другие вопросы в области социальной политики</t>
  </si>
  <si>
    <t>1006</t>
  </si>
  <si>
    <t>1500020150</t>
  </si>
  <si>
    <t>Расходы на проведение городских мероприятий для инвалидов</t>
  </si>
  <si>
    <t>1400020140</t>
  </si>
  <si>
    <t>1500220150</t>
  </si>
  <si>
    <t>Расходы на проведение городских мероприятий, праздников, фестивалей, выставок и конкурсов</t>
  </si>
  <si>
    <t>1400120140</t>
  </si>
  <si>
    <t>1600020160</t>
  </si>
  <si>
    <t>Физическая культура и спорт</t>
  </si>
  <si>
    <t>1100</t>
  </si>
  <si>
    <t>Другие вопросы в области физической культуры и спорта</t>
  </si>
  <si>
    <t>Расходы на проведение городских спортивных мероприятий, соревнованипй, турниров, гонок, эстафет</t>
  </si>
  <si>
    <t>Субсидии на финансовое обеспечение муниципального задания на оказание муниципальных услуг (выполнение работ) МБУ Центр физической культуры и спорта детей и юношества "Карабановец"</t>
  </si>
  <si>
    <t>1600420160</t>
  </si>
  <si>
    <t>1600120160</t>
  </si>
  <si>
    <t>1600220160</t>
  </si>
  <si>
    <t>1600320160</t>
  </si>
  <si>
    <t>9990060080</t>
  </si>
  <si>
    <t>Расходы на обеспечение функций органов местного самоуправления по размещению информации в средствах массовой информации</t>
  </si>
  <si>
    <t>Расходы на приобретение для городской библиотеки техники, мебели в читальный зал</t>
  </si>
  <si>
    <t>Субсидии на финансовое обеспечение муниципального задания на оказание муниципальных услуг (выполнение работ) МБУК "Карабановская городская библиотека имени Ю.Н.Худова"</t>
  </si>
  <si>
    <t>1200120120</t>
  </si>
  <si>
    <t>Расходы на очистку территории кладбища</t>
  </si>
  <si>
    <t>Расходы на выплаты по оплате труда работников  МКУ"Дирекция жизнеобеспечения населения" города Карабаново</t>
  </si>
  <si>
    <t>коммунальные услуги:</t>
  </si>
  <si>
    <t>теплоснабжение</t>
  </si>
  <si>
    <t>энергоснабжение</t>
  </si>
  <si>
    <t>водоснабжение</t>
  </si>
  <si>
    <t>223.1</t>
  </si>
  <si>
    <t>223.2</t>
  </si>
  <si>
    <t>223.3</t>
  </si>
  <si>
    <t>газоснабжение</t>
  </si>
  <si>
    <t>223.4</t>
  </si>
  <si>
    <t>Расходы на обеспечение функций органов местного самоуправления на управление муниципальным имуществом</t>
  </si>
  <si>
    <t>999002Ц050</t>
  </si>
  <si>
    <t>0700020070</t>
  </si>
  <si>
    <t>0700120070</t>
  </si>
  <si>
    <t>Расходы на оснащение и модернизацию уличного освещения</t>
  </si>
  <si>
    <t>Расходы на обустройство площадок для сбора мусора</t>
  </si>
  <si>
    <t>0900320090</t>
  </si>
  <si>
    <t>ОХРАНА ОКРУЖАЮЩЕЙ СРЕДЫ</t>
  </si>
  <si>
    <t>0600</t>
  </si>
  <si>
    <t>Расходы на обеспечение функций органов местного самоуправления по вопросам охраны окружающей среды</t>
  </si>
  <si>
    <t>0605</t>
  </si>
  <si>
    <t>999002П050</t>
  </si>
  <si>
    <t>1300620130</t>
  </si>
  <si>
    <t>Расходы на ремонт в здании библиотеки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</si>
  <si>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для обеспечения жильем многодетные семьи</t>
  </si>
  <si>
    <t>999001Ж040</t>
  </si>
  <si>
    <t>Расходы на выделение мест для стоянки автотранспортных средств инвалидов с установкой опознавательных знаков и дорожной разметки</t>
  </si>
  <si>
    <t>1500320150</t>
  </si>
  <si>
    <t>Расходы на установку ограждения вокруг стадиона</t>
  </si>
  <si>
    <t>1600520160</t>
  </si>
  <si>
    <t>содержание имущества</t>
  </si>
  <si>
    <t>газ</t>
  </si>
  <si>
    <t>340.3</t>
  </si>
  <si>
    <t>МП "Приведение в нормативное состояние улично-дорожной сети и объектов благоустройства МО город Карабаново в 2014-2019 годах"</t>
  </si>
  <si>
    <t>МП "Формирование доступной среды жизнедеятельности для инвалидов в городе Карабаново на 2014-2019 годы"</t>
  </si>
  <si>
    <t>МП "Социальная политика города Карабаново на 2017-2019 годы"</t>
  </si>
  <si>
    <t>129</t>
  </si>
  <si>
    <t>119</t>
  </si>
  <si>
    <t>634</t>
  </si>
  <si>
    <t>Уплата членских взносов и иных платежей</t>
  </si>
  <si>
    <t>1100820110</t>
  </si>
  <si>
    <t>853</t>
  </si>
  <si>
    <t>Транспортные расходы по доставке строительных материалов в целях проведения ремонта дорог в границах муниципального образования</t>
  </si>
  <si>
    <t>0300820030</t>
  </si>
  <si>
    <t>Расходы на устройство барьерного ограждения вдоль дороги местного значения</t>
  </si>
  <si>
    <t>Оценка уязвимости объектов транспортной инфраструктуры муниципального образования город Карабаново</t>
  </si>
  <si>
    <t>0300920030</t>
  </si>
  <si>
    <t>Разработка планов обеспечения транспортной безопасности объектов транспортной инфраструктуры муниципального образования город Карабаново</t>
  </si>
  <si>
    <t>0301020030</t>
  </si>
  <si>
    <t>Изготовление проекта организации дорожного движения муниципального образования город Карабаново</t>
  </si>
  <si>
    <t>0301120030</t>
  </si>
  <si>
    <t>0500020050</t>
  </si>
  <si>
    <t>0500120050</t>
  </si>
  <si>
    <t>МП "Благоустройство территории города Карабаново на 2014-2017 годы"</t>
  </si>
  <si>
    <t>1000020100</t>
  </si>
  <si>
    <t>Расходы на отлов бродячих животных в границах муниципального образования город Карабаново</t>
  </si>
  <si>
    <t>МП "Программа модернизации систем водоснабжения и водоотведения города Карабаново на 2017 - 2019 годы"</t>
  </si>
  <si>
    <t>1000720100</t>
  </si>
  <si>
    <t>0300320030</t>
  </si>
  <si>
    <t>Субсидия на финансовое обеспечение дорожной деятельности в отношении автомобильных дорог общего пользования местного значения в рамках поручений Губернатора Владимирской области</t>
  </si>
  <si>
    <t>0300572460</t>
  </si>
  <si>
    <t>Расходы на содержание муниципального жилого фонда</t>
  </si>
  <si>
    <t>999002М050</t>
  </si>
  <si>
    <t>1600620160</t>
  </si>
  <si>
    <t xml:space="preserve">Транспортные расходы </t>
  </si>
  <si>
    <t>Расходы  на  питание воспитанников во время соревнований, проходящих за пределами города</t>
  </si>
  <si>
    <t>1600720160</t>
  </si>
  <si>
    <t>Расходы на исполнение судебных актов Российской Федерации</t>
  </si>
  <si>
    <t>999002С010</t>
  </si>
  <si>
    <t>831</t>
  </si>
  <si>
    <t>0400</t>
  </si>
  <si>
    <t>Сельское хозяйство и рыболовство</t>
  </si>
  <si>
    <t>0405</t>
  </si>
  <si>
    <t>Расходы на финансовое обеспечение дорожной деятельности в отношении автомобильных дорог общего пользования местного значения в рамках поручений Губернатора Владимирской области (доля муниципального образования)</t>
  </si>
  <si>
    <t>03012S2460</t>
  </si>
  <si>
    <t>9990010050</t>
  </si>
  <si>
    <t>9990010200</t>
  </si>
  <si>
    <t>9990010810</t>
  </si>
  <si>
    <t>Расходы на установку дорожных знаков</t>
  </si>
  <si>
    <t>1000320100</t>
  </si>
  <si>
    <t>Расходы на проведение городских мероприятий, праздников, фестивалей, выставок и конкурсов"</t>
  </si>
  <si>
    <t>1300720130</t>
  </si>
  <si>
    <t>Территориальная избирательная комиссия Александровского района</t>
  </si>
  <si>
    <t xml:space="preserve">Выборы в представительные органы  </t>
  </si>
  <si>
    <t>0107</t>
  </si>
  <si>
    <t>880</t>
  </si>
  <si>
    <t>999000Г110</t>
  </si>
  <si>
    <t>1000420100</t>
  </si>
  <si>
    <t>Социальные выплаты</t>
  </si>
  <si>
    <t>999002Ж050</t>
  </si>
  <si>
    <t>320</t>
  </si>
  <si>
    <t>0301320030</t>
  </si>
  <si>
    <t>Расходы на обустройство пешеходных переходов на автомобильные дороги г.Карабаново</t>
  </si>
  <si>
    <t>Расходы на материальное обеспечение спиливания и кронирования  деревьев в лесопарковых и придорожных зонах</t>
  </si>
  <si>
    <t>Расходы на исполнение функций учредителя</t>
  </si>
  <si>
    <t>999002Ф050</t>
  </si>
  <si>
    <t>1000920100</t>
  </si>
  <si>
    <t>Расходы на приобретение и установку новогодней атрибутики</t>
  </si>
  <si>
    <t>Расходы на ямочный ремонт автомобильных дорог муниципального образования город Карабаново</t>
  </si>
  <si>
    <t>0400220040</t>
  </si>
  <si>
    <t>1900220030</t>
  </si>
  <si>
    <t>1300870390</t>
  </si>
  <si>
    <t>1300920390</t>
  </si>
  <si>
    <t>999001Ф060</t>
  </si>
  <si>
    <t>Расходы на повышение оплаты труда работников бюджетной сферы города Карабаново в соответствии с Указом Президента РФ от 07.05.12 г № 597, № 761  от 01.07.2012 г (Дом культуры) (Предоставление субсидий бюджетным учреждениям) (доля областного бюджета)</t>
  </si>
  <si>
    <t>Расходы на повышение оплаты труда работников бюджетной сферы города Карабаново в соответствии с Указом Президента РФ от 07.05.12 г № 597, № 761  от 01.07.2012 г (Карабановская городская библиотека им.Ю.Н.Худова) (Предоставление субсидий бюджетным учреждениям) (доля областного бюджета)</t>
  </si>
  <si>
    <t>Расходы на повышение оплаты труда работников бюджетной сферы города Карабаново в соответствии с Указом Президента РФ от 07.05.12 г № 597, № 761  от 01.07.2012 г (Дом культуры) (Предоставление субсидий бюджетным учреждениям) (доля муниципального образования)</t>
  </si>
  <si>
    <t>Расходы на повышение оплаты труда работников бюджетной сферы города Карабаново в соответствии с Указом Президента РФ от 07.05.12 г № 597, № 761  от 01.07.2012 г (Карабановская городская библиотека им.Ю.Н.Худова) (Предоставление субсидий бюджетным учреждениям) (доля муниципального образования)</t>
  </si>
  <si>
    <t>1900320030</t>
  </si>
  <si>
    <t>0700220070</t>
  </si>
  <si>
    <t>МП " Программа модернизации уличного освещения в городе Карабаново на 2014-2019 годы"</t>
  </si>
  <si>
    <t>2100120021</t>
  </si>
  <si>
    <t>2000020200</t>
  </si>
  <si>
    <t xml:space="preserve"> " Расходы на оснощение и модернизацию уличного освещения"</t>
  </si>
  <si>
    <t xml:space="preserve"> " Расходы на техническое обслуживание уличного освещения"</t>
  </si>
  <si>
    <t xml:space="preserve"> " Возмещение затрат на установку индивидуальных приборов учета"</t>
  </si>
  <si>
    <t>Расходы на благоустройство дворовых территорий многоквартирных домов"</t>
  </si>
  <si>
    <t>2000120200</t>
  </si>
  <si>
    <t>2000220200</t>
  </si>
  <si>
    <t>Расходы на "Технический надзор за мероприятиями по благоустройству дворовых территорий многоквартирных домов"</t>
  </si>
  <si>
    <t>2000325550</t>
  </si>
  <si>
    <t>Расходы на благоустройство дворовых территорий многоквартирных домов за средств субсидии из областного бюджета"</t>
  </si>
  <si>
    <t>Расходы на преобретение аттракционов для городского парка"</t>
  </si>
  <si>
    <t>1301020130</t>
  </si>
  <si>
    <t>Расходы на доведение заработной платы работникам МКУ "Дирекция жизнеобеспечения населения" город Карабаново до МРОТ"</t>
  </si>
  <si>
    <t>1100920110</t>
  </si>
  <si>
    <t>1900572460</t>
  </si>
  <si>
    <t>20003R5550</t>
  </si>
  <si>
    <t>Субсидиина финансовое обеспечение муниципального задания на оказание муниципальных услуг(выполнение работ) на доведение заработной платы работников МБУК"Дом Культуры" г.Карабаново до МРОТ</t>
  </si>
  <si>
    <t>1301120130</t>
  </si>
  <si>
    <t>9990014970</t>
  </si>
  <si>
    <t>МП " Переселение граждан из аварийного жилищного фонда в муниципальном образовании город Карабаново Александровского района Владимирской области на 2018-2022 годы""</t>
  </si>
  <si>
    <t>"Расходы реализацию мероприятий по переселению граждан из аварийного жилищного фонда на территории муниципального образования город Карабаново (доля областного бюджета)</t>
  </si>
  <si>
    <t>322</t>
  </si>
  <si>
    <t>"Расходы реализацию мероприятий по переселению граждан из аварийного жилищного фонда на территории муниципального образования город Карабаново (доля софинансирования местного бюджета)</t>
  </si>
  <si>
    <t>2200209602</t>
  </si>
  <si>
    <t>Субсидиина финансовое обеспечение муниципального задания на оказание муниципальных услуг(выполнение работ) на доведение заработной платы работников МБУ Центр физической культуры и спорта детей и юношества "Карабановец" до МРОТ</t>
  </si>
  <si>
    <t>0412</t>
  </si>
  <si>
    <t>Резерв для участия в региональных программах</t>
  </si>
  <si>
    <t>9990020080</t>
  </si>
  <si>
    <t>1901120030</t>
  </si>
  <si>
    <t>Расходы на материальное обеспечение изготовление проекта организации дорожного движения муниципального образования город Карабаново</t>
  </si>
  <si>
    <t>0500220050</t>
  </si>
  <si>
    <t>Расходы на проектирование канализационного коллектора на территории муниципального образования город Карабаново</t>
  </si>
  <si>
    <t>Расходы на изготовление проектно-сметной документации по приобретению и установке фильтра обеззараживания сточных вод"</t>
  </si>
  <si>
    <t>20001L5550</t>
  </si>
  <si>
    <t>"Расходы на проведение ремонта и обеспечение благоустройства дворовых территорий многоквартирных домов"</t>
  </si>
  <si>
    <t>Расходы на проведение экспертизы сметной документации при проведении ремонта и обеспечении благоустройства дворовых территорий многоквартирных домов</t>
  </si>
  <si>
    <t>2200120220</t>
  </si>
  <si>
    <t>2200220220</t>
  </si>
  <si>
    <t>2000420200</t>
  </si>
  <si>
    <t>Расходы на текущий ремонт дороги по улице "переулок Чистопольный"</t>
  </si>
  <si>
    <t>1900420030</t>
  </si>
  <si>
    <t>2200020220</t>
  </si>
  <si>
    <t>1001020100</t>
  </si>
  <si>
    <t>Расходы на приобретение автомобильной техники</t>
  </si>
  <si>
    <t>МП "Благоустройство территории города Карабаново на 2014-2018 годы"</t>
  </si>
  <si>
    <t>2200320220</t>
  </si>
  <si>
    <t>Расходы на материальное обеспечение мероприятий по проведению оценки жилого фонда</t>
  </si>
  <si>
    <t>2200129602</t>
  </si>
  <si>
    <t>Глава администрации</t>
  </si>
  <si>
    <t>Л.Ю.Емельянова</t>
  </si>
  <si>
    <t>0700320070</t>
  </si>
  <si>
    <t>"Расходы на материальное оеспечение мероприятий по подключению к сетям энергоснажения земельных участков,передаваемых многодетным семьям"</t>
  </si>
  <si>
    <t>Субсидии на иные цели,не связанные с финансовым выполнением муниципального задания МБУК "Карабановская городская библиотека имени Ю.Н. Худова"</t>
  </si>
  <si>
    <t>1301220130</t>
  </si>
  <si>
    <t>2200029602</t>
  </si>
  <si>
    <t>Расходы на несение горизонтальной разметки  на автомобильной  дороге г.Карабаново"</t>
  </si>
  <si>
    <t>1900620030</t>
  </si>
  <si>
    <t>1900720030</t>
  </si>
  <si>
    <t>Расходы по доставке строительных материалов в целях проведения ремонта дорог в границах муниципального образования</t>
  </si>
  <si>
    <t>Расходы на софинансирование проектов модернизации по концессионным соглашениям в сфере тепло-, водоснабжения, водоотведения, очистки  сточных вод и обращения с твердыми комунальными отходами (субсидия из областного бюджета)</t>
  </si>
  <si>
    <t>2100229505</t>
  </si>
  <si>
    <t>Расходы на изготовление проектно-сметной документации по ремонту городских канализационных очистных сооружений"</t>
  </si>
  <si>
    <t>Расходы на проведение и обеспечение благоустройство дворовых территорий многоквартирных домов за средств субсидии из областного бюджета"</t>
  </si>
  <si>
    <t>20003L5550</t>
  </si>
  <si>
    <t>Расходы на содержание автомобильных дорог МО г.Карабаново и включающих в себя механическую и ручную очистку дорожного полотно и обочин, посыпку дорог пескосоляными смесями и противогололёдными реагентами, полив проезжей части (исполнение судебных актов)</t>
  </si>
  <si>
    <t>Расходы на содержание скверов,аллей площадей, пешеходных зон, включающих в себя механическую и ручную уборку, подметание, вывоз снега, россыпь противогололёдных реагентов, полив пешеходных зон и  тротуаров(исполнение судебных актов)</t>
  </si>
  <si>
    <t>Расходы на материальное обеспечение изготовления проектной документации для строительных модульных котельных</t>
  </si>
  <si>
    <t>у Налеухина спроси</t>
  </si>
  <si>
    <t>2300120230</t>
  </si>
  <si>
    <t>Расходы на подготовку документации по межеванию территориальных зон города и территориальному планированию (доля муниципального образования)</t>
  </si>
  <si>
    <t>Расходы на подготовку документации по межеванию территориальных зон города и территориальному планированию (субсидия из областного бюджета)</t>
  </si>
  <si>
    <t>Муниципальная программа "Обеспечение территории МО г.Карабаново документами территориального планирования  на 2019-2021 г</t>
  </si>
  <si>
    <t>уточни в какой  квартал ставить</t>
  </si>
  <si>
    <t>2300020230</t>
  </si>
  <si>
    <t>уточни куда ставить</t>
  </si>
  <si>
    <t>"Расходы на проведение ремонта и обеспечение благоустройства дворовых территорий многоквартирных домов" (доля муниципального бюджета)</t>
  </si>
  <si>
    <t>уточни в какой кв ставить но мы наверное снимин их т.к. было уведомл. -5000 а 4999… с 2019 на 2018 г</t>
  </si>
  <si>
    <t>Субсидии на иные цели, не связанные с финансовым выполнением муниципального задания МБУ "Центр физической культуры и спорта детей и юношества  "Карабановец"(за счет средств местного бюджета)</t>
  </si>
  <si>
    <t>Субсидии на иные цели, не связанные с финансовым выполнением муниципального задания МБУ "Центр физической культуры и спорта детей и юношества  "Карабановец" (за счет средств районого бюджета)</t>
  </si>
  <si>
    <t>МП "Программа модернизации уличного освещения в г.Карабаново на 2014-2021 годы"</t>
  </si>
  <si>
    <t>можно делить эту сумму в любой квартал ставить Марина сказала</t>
  </si>
  <si>
    <t>Т.Ю. сказала в 3 квартал</t>
  </si>
  <si>
    <t xml:space="preserve">Расход на обеспечение мероприятий по пожарной безопастности </t>
  </si>
  <si>
    <t>Дорожное хозяйство(дорожне фонды)</t>
  </si>
  <si>
    <t>Расходы на капитальный ремонт жилого фонда, находящегося в муниципальной собственности поселения</t>
  </si>
  <si>
    <t>Расходы на обеспечение функций органов местного самоуправления и по оплате уличного освещения</t>
  </si>
  <si>
    <t>Расходы на материальное обеспечение предоставления дополнительных мер социальной поддержки граждан,проживающих в одноэтажных жилых домах с централизованным отоплением города Карабаново</t>
  </si>
  <si>
    <t>Субсидии на иные цели, не связанные с финансовым выполнением муниципального задания МБУ "Центр физической культуры и спорта детей и юношества  "Карабановец"(за счет стредств местного бюджета)</t>
  </si>
  <si>
    <t>2100020210</t>
  </si>
  <si>
    <t>2100320210</t>
  </si>
  <si>
    <t>Муниципальная программа "Содержание дорог местного значения муниципального образования город Карабаново на 2018 - 2021 годы"</t>
  </si>
  <si>
    <t>Муниципальная программа "Обеспечение пожарной безопасности в городе Карабаново на период 2019-2021 годов"</t>
  </si>
  <si>
    <t xml:space="preserve">Муниципальная программа "Осуществление комплекса мероприятий по оказанию услуг в сфере коммунального и  хозяйственного обеспечения деятельности муниципального казенного учреждения "Дирекция жизнеобеспечения населения" города Карабаново на 2018-2021 годы" </t>
  </si>
  <si>
    <t>Муниципальная программа "Оформление права собственности на муниципальное имущество муниципальное образование город Карабаново на 2014-2021 годы"</t>
  </si>
  <si>
    <t>Муниципальная программа "Проведение оценки муниципального имущества города Карабаново и оценки аренды муниципального имущества города Карабаново на 2018-2021годы"</t>
  </si>
  <si>
    <t>Муниципальная программа комплексного развития транспортной инфраструктуры МО г.Карабаново на 2017-2030 годы</t>
  </si>
  <si>
    <t>Муниципальная программа "Энергосбережение и повышение энергетической эффективности на территории муниципального образования "Городское поселение Карабаново" Владимирской области на 2010-2021 годы"</t>
  </si>
  <si>
    <t>Муниципальная программа "Содержание скверов, аллей, площадей, пешеходных зон в городе Карабаново на 2018-2021 годы"</t>
  </si>
  <si>
    <t>Муниципальная программа "Благоустройство и реконструкция кладбища в городе Карабаново на 2018-2021 годы"</t>
  </si>
  <si>
    <t>Муниципальная программа "Благоустройство территории города Карабаново на 2014-2021 годы"</t>
  </si>
  <si>
    <t>Муниципальная программа "Формирование современной городской среды на 2018 - 2022 г.г."</t>
  </si>
  <si>
    <t xml:space="preserve">Муниципальная программа "Осуществление комплекса мероприятий по оказанию услуг в сфере коммунального и  хозяйственного обеспечения деятельности муниципального казенного учреждения"Дирекция жизнеобеспечения населения" города Карабаново на 2018-2021 годы" </t>
  </si>
  <si>
    <t>Муниципальная программа "Детская и молодежная политика города Карабаново на 2018-2021 годы"</t>
  </si>
  <si>
    <t>Муниципальная программа "Сохранение и развитие культуры города Карабаново на 2018-2021 годы"</t>
  </si>
  <si>
    <t>Муниципальная программа "Развитие физической культуры и спорта города Карабаново на 2018-2021 годы"</t>
  </si>
  <si>
    <t>Муниципальная программа  "Развитие физической культуры и спорта города Карабаново на 2018-2021 годы"</t>
  </si>
  <si>
    <t>1900120190</t>
  </si>
  <si>
    <t>1900020190</t>
  </si>
  <si>
    <t>главного распорядителя средств бюджета</t>
  </si>
  <si>
    <t>текущий финансовый год</t>
  </si>
  <si>
    <t>Сумма на:</t>
  </si>
  <si>
    <t>в том числе по кварталам</t>
  </si>
  <si>
    <t>I год планового периода  2020 год</t>
  </si>
  <si>
    <t>II год планового периода 2021 год</t>
  </si>
  <si>
    <t>" ____ " _______________ 20 19_ год</t>
  </si>
  <si>
    <t xml:space="preserve"> первоночальная на 2019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</si>
</sst>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[$-FC19]d\ mmmm\ yyyy\ &quot;г.&quot;"/>
    <numFmt numFmtId="174" formatCode="0.0000"/>
    <numFmt numFmtId="175" formatCode="0.0"/>
    <numFmt numFmtId="176" formatCode="0.00000"/>
    <numFmt numFmtId="177" formatCode="0.000000"/>
    <numFmt numFmtId="178" formatCode="#,##0.00&quot;р.&quot;"/>
    <numFmt numFmtId="179" formatCode="#,##0.00000"/>
    <numFmt numFmtId="180" formatCode="0.0000000"/>
    <numFmt numFmtId="181" formatCode="0.00000000"/>
    <numFmt numFmtId="182" formatCode="0.000000000"/>
  </numFmts>
  <fonts count="5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i/>
      <sz val="10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4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2" fontId="4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2" fillId="33" borderId="0" xfId="0" applyNumberFormat="1" applyFont="1" applyFill="1" applyBorder="1" applyAlignment="1">
      <alignment/>
    </xf>
    <xf numFmtId="2" fontId="0" fillId="33" borderId="0" xfId="0" applyNumberFormat="1" applyFill="1" applyAlignment="1">
      <alignment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2" fontId="2" fillId="33" borderId="13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9" fontId="0" fillId="33" borderId="0" xfId="0" applyNumberFormat="1" applyFill="1" applyAlignment="1">
      <alignment/>
    </xf>
    <xf numFmtId="0" fontId="2" fillId="33" borderId="10" xfId="0" applyFont="1" applyFill="1" applyBorder="1" applyAlignment="1">
      <alignment horizontal="right"/>
    </xf>
    <xf numFmtId="172" fontId="0" fillId="33" borderId="0" xfId="0" applyNumberFormat="1" applyFill="1" applyAlignment="1">
      <alignment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10" fillId="33" borderId="10" xfId="0" applyNumberFormat="1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left"/>
    </xf>
    <xf numFmtId="49" fontId="9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7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vertical="center"/>
    </xf>
    <xf numFmtId="0" fontId="11" fillId="33" borderId="0" xfId="0" applyFont="1" applyFill="1" applyAlignment="1">
      <alignment/>
    </xf>
    <xf numFmtId="49" fontId="1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wrapText="1"/>
    </xf>
    <xf numFmtId="2" fontId="0" fillId="33" borderId="0" xfId="0" applyNumberFormat="1" applyFill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wrapText="1"/>
    </xf>
    <xf numFmtId="49" fontId="7" fillId="33" borderId="14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/>
    </xf>
    <xf numFmtId="0" fontId="9" fillId="33" borderId="0" xfId="0" applyFont="1" applyFill="1" applyAlignment="1">
      <alignment wrapText="1"/>
    </xf>
    <xf numFmtId="0" fontId="11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9" fontId="14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/>
    </xf>
    <xf numFmtId="49" fontId="2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/>
    </xf>
    <xf numFmtId="176" fontId="0" fillId="33" borderId="0" xfId="0" applyNumberFormat="1" applyFill="1" applyAlignment="1">
      <alignment/>
    </xf>
    <xf numFmtId="2" fontId="10" fillId="33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 horizontal="left" vertical="top" wrapText="1"/>
    </xf>
    <xf numFmtId="2" fontId="9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2" fillId="33" borderId="10" xfId="0" applyNumberFormat="1" applyFont="1" applyFill="1" applyBorder="1" applyAlignment="1">
      <alignment horizontal="right"/>
    </xf>
    <xf numFmtId="2" fontId="11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vertical="top"/>
    </xf>
    <xf numFmtId="2" fontId="0" fillId="33" borderId="0" xfId="0" applyNumberFormat="1" applyFill="1" applyBorder="1" applyAlignment="1">
      <alignment/>
    </xf>
    <xf numFmtId="1" fontId="2" fillId="33" borderId="12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2" fontId="2" fillId="33" borderId="14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left"/>
    </xf>
    <xf numFmtId="2" fontId="4" fillId="33" borderId="15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textRotation="90" wrapText="1"/>
    </xf>
    <xf numFmtId="0" fontId="18" fillId="33" borderId="20" xfId="0" applyFont="1" applyFill="1" applyBorder="1" applyAlignment="1">
      <alignment horizontal="center" vertical="center" textRotation="90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24" xfId="0" applyFont="1" applyFill="1" applyBorder="1" applyAlignment="1">
      <alignment horizontal="center" vertical="center" textRotation="90" wrapText="1"/>
    </xf>
    <xf numFmtId="0" fontId="2" fillId="33" borderId="25" xfId="0" applyFont="1" applyFill="1" applyBorder="1" applyAlignment="1">
      <alignment horizontal="center" vertical="center" textRotation="90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2" fontId="2" fillId="33" borderId="26" xfId="0" applyNumberFormat="1" applyFont="1" applyFill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2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8"/>
  <sheetViews>
    <sheetView tabSelected="1" zoomScalePageLayoutView="0" workbookViewId="0" topLeftCell="A599">
      <selection activeCell="A310" sqref="A310"/>
    </sheetView>
  </sheetViews>
  <sheetFormatPr defaultColWidth="9.00390625" defaultRowHeight="12.75"/>
  <cols>
    <col min="1" max="1" width="45.375" style="14" customWidth="1"/>
    <col min="2" max="2" width="6.125" style="14" customWidth="1"/>
    <col min="3" max="3" width="5.375" style="14" customWidth="1"/>
    <col min="4" max="4" width="11.625" style="14" customWidth="1"/>
    <col min="5" max="5" width="5.00390625" style="14" customWidth="1"/>
    <col min="6" max="6" width="9.50390625" style="14" customWidth="1"/>
    <col min="7" max="7" width="15.50390625" style="18" customWidth="1"/>
    <col min="8" max="8" width="13.375" style="18" customWidth="1"/>
    <col min="9" max="9" width="13.625" style="18" customWidth="1"/>
    <col min="10" max="10" width="14.50390625" style="18" customWidth="1"/>
    <col min="11" max="11" width="16.875" style="18" customWidth="1"/>
    <col min="12" max="13" width="0" style="14" hidden="1" customWidth="1"/>
    <col min="14" max="14" width="12.625" style="14" hidden="1" customWidth="1"/>
    <col min="15" max="15" width="10.375" style="14" hidden="1" customWidth="1"/>
    <col min="16" max="16" width="10.625" style="14" hidden="1" customWidth="1"/>
    <col min="17" max="17" width="10.50390625" style="14" hidden="1" customWidth="1"/>
    <col min="18" max="18" width="0" style="14" hidden="1" customWidth="1"/>
    <col min="19" max="19" width="11.50390625" style="14" hidden="1" customWidth="1"/>
    <col min="20" max="22" width="0" style="14" hidden="1" customWidth="1"/>
    <col min="23" max="23" width="14.50390625" style="18" customWidth="1"/>
    <col min="24" max="24" width="16.875" style="18" customWidth="1"/>
  </cols>
  <sheetData>
    <row r="1" spans="1:24" s="1" customFormat="1" ht="15">
      <c r="A1" s="6"/>
      <c r="B1" s="6"/>
      <c r="C1" s="6"/>
      <c r="D1" s="6"/>
      <c r="E1" s="6"/>
      <c r="F1" s="6"/>
      <c r="G1" s="7"/>
      <c r="H1" s="8"/>
      <c r="I1" s="7"/>
      <c r="J1" s="8" t="s">
        <v>11</v>
      </c>
      <c r="K1" s="9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8"/>
      <c r="X1" s="9"/>
    </row>
    <row r="2" spans="1:24" s="1" customFormat="1" ht="15">
      <c r="A2" s="6"/>
      <c r="B2" s="6"/>
      <c r="C2" s="6"/>
      <c r="D2" s="6"/>
      <c r="E2" s="6"/>
      <c r="F2" s="6"/>
      <c r="G2" s="7"/>
      <c r="H2" s="8"/>
      <c r="I2" s="89" t="s">
        <v>416</v>
      </c>
      <c r="J2" s="89"/>
      <c r="K2" s="8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s="1" customFormat="1" ht="15">
      <c r="A3" s="6"/>
      <c r="B3" s="6"/>
      <c r="C3" s="6"/>
      <c r="D3" s="6"/>
      <c r="E3" s="6"/>
      <c r="F3" s="6"/>
      <c r="G3" s="7"/>
      <c r="H3" s="8"/>
      <c r="I3" s="90" t="s">
        <v>417</v>
      </c>
      <c r="J3" s="90"/>
      <c r="K3" s="9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s="1" customFormat="1" ht="15">
      <c r="A4" s="6"/>
      <c r="B4" s="6"/>
      <c r="C4" s="6"/>
      <c r="D4" s="6"/>
      <c r="E4" s="6"/>
      <c r="F4" s="6"/>
      <c r="G4" s="7"/>
      <c r="H4" s="8"/>
      <c r="I4" s="7"/>
      <c r="J4" s="8" t="s">
        <v>482</v>
      </c>
      <c r="K4" s="9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8"/>
      <c r="X4" s="9"/>
    </row>
    <row r="5" spans="1:24" s="1" customFormat="1" ht="16.5" customHeight="1">
      <c r="A5" s="6"/>
      <c r="B5" s="6"/>
      <c r="C5" s="6"/>
      <c r="D5" s="6"/>
      <c r="E5" s="6"/>
      <c r="F5" s="6"/>
      <c r="G5" s="9"/>
      <c r="H5" s="9"/>
      <c r="I5" s="9"/>
      <c r="J5" s="11"/>
      <c r="K5" s="9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  <c r="X5" s="9"/>
    </row>
    <row r="6" spans="1:24" s="2" customFormat="1" ht="19.5" customHeight="1">
      <c r="A6" s="91" t="s">
        <v>10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s="2" customFormat="1" ht="18.75">
      <c r="A7" s="92" t="s">
        <v>152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s="3" customFormat="1" ht="12.75">
      <c r="A8" s="101" t="s">
        <v>12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s="2" customFormat="1" ht="15" customHeight="1">
      <c r="A9" s="102" t="s">
        <v>483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1.25" customHeight="1">
      <c r="A10" s="103" t="s">
        <v>13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W10" s="14"/>
      <c r="X10" s="14"/>
    </row>
    <row r="11" spans="1:24" ht="8.25" customHeight="1">
      <c r="A11" s="15"/>
      <c r="B11" s="15"/>
      <c r="C11" s="15"/>
      <c r="D11" s="15"/>
      <c r="E11" s="15"/>
      <c r="F11" s="15"/>
      <c r="G11" s="16"/>
      <c r="H11" s="16"/>
      <c r="I11" s="16"/>
      <c r="J11" s="17"/>
      <c r="K11" s="16"/>
      <c r="W11" s="17"/>
      <c r="X11" s="16"/>
    </row>
    <row r="12" spans="1:24" ht="13.5" thickBot="1">
      <c r="A12" s="15"/>
      <c r="B12" s="15"/>
      <c r="C12" s="15"/>
      <c r="D12" s="15"/>
      <c r="E12" s="15"/>
      <c r="F12" s="15"/>
      <c r="G12" s="16"/>
      <c r="H12" s="16"/>
      <c r="I12" s="16"/>
      <c r="K12" s="82" t="s">
        <v>8</v>
      </c>
      <c r="X12" s="14"/>
    </row>
    <row r="13" spans="1:24" s="3" customFormat="1" ht="19.5" customHeight="1">
      <c r="A13" s="93" t="s">
        <v>5</v>
      </c>
      <c r="B13" s="98" t="s">
        <v>4</v>
      </c>
      <c r="C13" s="99"/>
      <c r="D13" s="99"/>
      <c r="E13" s="99"/>
      <c r="F13" s="100"/>
      <c r="G13" s="106" t="s">
        <v>478</v>
      </c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8"/>
    </row>
    <row r="14" spans="1:24" s="3" customFormat="1" ht="19.5" customHeight="1">
      <c r="A14" s="94"/>
      <c r="B14" s="96" t="s">
        <v>476</v>
      </c>
      <c r="C14" s="85" t="s">
        <v>154</v>
      </c>
      <c r="D14" s="85" t="s">
        <v>6</v>
      </c>
      <c r="E14" s="85" t="s">
        <v>7</v>
      </c>
      <c r="F14" s="104" t="s">
        <v>157</v>
      </c>
      <c r="G14" s="87" t="s">
        <v>477</v>
      </c>
      <c r="H14" s="110" t="s">
        <v>479</v>
      </c>
      <c r="I14" s="111"/>
      <c r="J14" s="111"/>
      <c r="K14" s="112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09" t="s">
        <v>480</v>
      </c>
      <c r="X14" s="109" t="s">
        <v>481</v>
      </c>
    </row>
    <row r="15" spans="1:24" s="3" customFormat="1" ht="75" customHeight="1">
      <c r="A15" s="95"/>
      <c r="B15" s="97"/>
      <c r="C15" s="86"/>
      <c r="D15" s="86"/>
      <c r="E15" s="86"/>
      <c r="F15" s="105"/>
      <c r="G15" s="88"/>
      <c r="H15" s="19" t="s">
        <v>0</v>
      </c>
      <c r="I15" s="19" t="s">
        <v>1</v>
      </c>
      <c r="J15" s="19" t="s">
        <v>2</v>
      </c>
      <c r="K15" s="19" t="s">
        <v>3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88"/>
      <c r="X15" s="88"/>
    </row>
    <row r="16" spans="1:24" s="3" customFormat="1" ht="13.5" thickBot="1">
      <c r="A16" s="20">
        <v>1</v>
      </c>
      <c r="B16" s="21">
        <v>2</v>
      </c>
      <c r="C16" s="21">
        <v>3</v>
      </c>
      <c r="D16" s="21">
        <v>4</v>
      </c>
      <c r="E16" s="21">
        <v>5</v>
      </c>
      <c r="F16" s="21">
        <v>6</v>
      </c>
      <c r="G16" s="81">
        <v>7</v>
      </c>
      <c r="H16" s="81">
        <v>8</v>
      </c>
      <c r="I16" s="81">
        <v>9</v>
      </c>
      <c r="J16" s="81">
        <v>10</v>
      </c>
      <c r="K16" s="81">
        <v>11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81">
        <v>12</v>
      </c>
      <c r="X16" s="81">
        <v>13</v>
      </c>
    </row>
    <row r="17" spans="1:24" ht="6.75" customHeight="1">
      <c r="A17" s="22"/>
      <c r="B17" s="22"/>
      <c r="C17" s="22"/>
      <c r="D17" s="22"/>
      <c r="E17" s="22"/>
      <c r="F17" s="22"/>
      <c r="G17" s="23"/>
      <c r="H17" s="23"/>
      <c r="I17" s="23"/>
      <c r="J17" s="23"/>
      <c r="K17" s="23"/>
      <c r="W17" s="23"/>
      <c r="X17" s="23"/>
    </row>
    <row r="18" spans="1:24" ht="15" customHeight="1">
      <c r="A18" s="24" t="s">
        <v>14</v>
      </c>
      <c r="B18" s="24"/>
      <c r="C18" s="24"/>
      <c r="D18" s="24"/>
      <c r="E18" s="24"/>
      <c r="F18" s="24"/>
      <c r="G18" s="73">
        <f>G19+G35+G36+G34+G23</f>
        <v>16402.65</v>
      </c>
      <c r="H18" s="73">
        <f>H19+H35+H36+H34+H23</f>
        <v>3403.82</v>
      </c>
      <c r="I18" s="73">
        <f>I19+I35+I36+I34+I23</f>
        <v>3964.3199999999997</v>
      </c>
      <c r="J18" s="73">
        <f>J19+J35+J36+J34+J23</f>
        <v>4038.3599999999997</v>
      </c>
      <c r="K18" s="73">
        <f>K19+K35+K36+K34+K23</f>
        <v>4996.15</v>
      </c>
      <c r="W18" s="73">
        <f>W19+W35+W36+W34+W23</f>
        <v>16349.619999999999</v>
      </c>
      <c r="X18" s="73">
        <f>X19+X35+X36+X34+X23</f>
        <v>16212.82</v>
      </c>
    </row>
    <row r="19" spans="1:24" ht="12" customHeight="1">
      <c r="A19" s="25" t="s">
        <v>15</v>
      </c>
      <c r="B19" s="26"/>
      <c r="C19" s="26"/>
      <c r="D19" s="26"/>
      <c r="E19" s="26"/>
      <c r="F19" s="26">
        <v>210</v>
      </c>
      <c r="G19" s="74">
        <f>G20+G21+G22</f>
        <v>11631.92</v>
      </c>
      <c r="H19" s="74">
        <f>H20+H21+H22</f>
        <v>2326.52</v>
      </c>
      <c r="I19" s="74">
        <f>I20+I21+I22</f>
        <v>2908.1</v>
      </c>
      <c r="J19" s="74">
        <f>J20+J21+J22</f>
        <v>2908.1</v>
      </c>
      <c r="K19" s="74">
        <f>K20+K21+K22</f>
        <v>3489.2000000000003</v>
      </c>
      <c r="W19" s="74">
        <f>W20+W21+W22</f>
        <v>11631.919999999998</v>
      </c>
      <c r="X19" s="74">
        <f>X20+X21+X22</f>
        <v>11631.919999999998</v>
      </c>
    </row>
    <row r="20" spans="1:24" ht="12.75" customHeight="1">
      <c r="A20" s="26" t="s">
        <v>16</v>
      </c>
      <c r="B20" s="26"/>
      <c r="C20" s="26"/>
      <c r="D20" s="26"/>
      <c r="E20" s="26"/>
      <c r="F20" s="26">
        <v>211</v>
      </c>
      <c r="G20" s="74">
        <f>H20+I20+J20+K20</f>
        <v>8934.02</v>
      </c>
      <c r="H20" s="74">
        <f>H44+H49+H61+H100+H53+H131</f>
        <v>1786.92</v>
      </c>
      <c r="I20" s="74">
        <f>I44+I49+I61+I100+I53+I131</f>
        <v>2233.5</v>
      </c>
      <c r="J20" s="74">
        <f>J44+J49+J61+J100+J53+J131</f>
        <v>2233.5</v>
      </c>
      <c r="K20" s="74">
        <f>K44+K49+K61+K100+K53+K131</f>
        <v>2680.1000000000004</v>
      </c>
      <c r="W20" s="74">
        <f>W44+W49+W61+W100+W53+W131</f>
        <v>8934.029999999999</v>
      </c>
      <c r="X20" s="74">
        <f>X44+X49+X61+X100+X53+X131</f>
        <v>8934.029999999999</v>
      </c>
    </row>
    <row r="21" spans="1:24" ht="12.75" customHeight="1" hidden="1">
      <c r="A21" s="26" t="s">
        <v>17</v>
      </c>
      <c r="B21" s="26"/>
      <c r="C21" s="26"/>
      <c r="D21" s="26"/>
      <c r="E21" s="26"/>
      <c r="F21" s="26">
        <v>212</v>
      </c>
      <c r="G21" s="74">
        <f>H21+I21+J21+K21</f>
        <v>0</v>
      </c>
      <c r="H21" s="74">
        <f>H50+H62</f>
        <v>0</v>
      </c>
      <c r="I21" s="74">
        <f>I50+I62</f>
        <v>0</v>
      </c>
      <c r="J21" s="74">
        <f>J50+J62</f>
        <v>0</v>
      </c>
      <c r="K21" s="74">
        <f>K50+K62</f>
        <v>0</v>
      </c>
      <c r="W21" s="74">
        <f>W50+W62</f>
        <v>0</v>
      </c>
      <c r="X21" s="74">
        <f>X50+X62</f>
        <v>0</v>
      </c>
    </row>
    <row r="22" spans="1:24" ht="15" customHeight="1">
      <c r="A22" s="26" t="s">
        <v>18</v>
      </c>
      <c r="B22" s="26"/>
      <c r="C22" s="26"/>
      <c r="D22" s="26"/>
      <c r="E22" s="26"/>
      <c r="F22" s="26">
        <v>213</v>
      </c>
      <c r="G22" s="74">
        <f>H22+I22+J22+K22</f>
        <v>2697.9</v>
      </c>
      <c r="H22" s="74">
        <f>H46+H51+H63+H102+H54+H132</f>
        <v>539.6</v>
      </c>
      <c r="I22" s="74">
        <f>I46+I51+I63+I102+I54+I132</f>
        <v>674.6</v>
      </c>
      <c r="J22" s="74">
        <f>J46+J51+J63+J102+J54+J132</f>
        <v>674.6</v>
      </c>
      <c r="K22" s="74">
        <f>K46+K51+K63+K102+K54+K132</f>
        <v>809.1</v>
      </c>
      <c r="W22" s="74">
        <f>W46+W51+W63+W102+W54+W132</f>
        <v>2697.8900000000003</v>
      </c>
      <c r="X22" s="74">
        <f>X46+X51+X63+X102+X54+X132</f>
        <v>2697.8900000000003</v>
      </c>
    </row>
    <row r="23" spans="1:24" ht="14.25" customHeight="1">
      <c r="A23" s="26" t="s">
        <v>111</v>
      </c>
      <c r="B23" s="26"/>
      <c r="C23" s="26"/>
      <c r="D23" s="26"/>
      <c r="E23" s="26"/>
      <c r="F23" s="26">
        <v>220</v>
      </c>
      <c r="G23" s="74">
        <f>H23+I23+J23+K23</f>
        <v>3002.53</v>
      </c>
      <c r="H23" s="74">
        <f>H33+H32+H26+H24+H25</f>
        <v>710.4</v>
      </c>
      <c r="I23" s="74">
        <f>I33+I32+I26+I24+I25</f>
        <v>787.4000000000001</v>
      </c>
      <c r="J23" s="74">
        <f>J33+J32+J26+J24+J25</f>
        <v>637.83</v>
      </c>
      <c r="K23" s="74">
        <f>K33+K32+K26+K24+K25</f>
        <v>866.9</v>
      </c>
      <c r="W23" s="74">
        <f>W33+W32+W26+W24+W25</f>
        <v>2955.5</v>
      </c>
      <c r="X23" s="74">
        <f>X33+X32+X26+X24+X25</f>
        <v>2818.7</v>
      </c>
    </row>
    <row r="24" spans="1:24" ht="14.25" customHeight="1">
      <c r="A24" s="26" t="s">
        <v>20</v>
      </c>
      <c r="B24" s="26"/>
      <c r="C24" s="26"/>
      <c r="D24" s="26"/>
      <c r="E24" s="26"/>
      <c r="F24" s="26">
        <v>221</v>
      </c>
      <c r="G24" s="74">
        <f aca="true" t="shared" si="0" ref="G24:G31">H24+I24+J24+K24</f>
        <v>324.4</v>
      </c>
      <c r="H24" s="74">
        <f>H104</f>
        <v>65</v>
      </c>
      <c r="I24" s="74">
        <f aca="true" t="shared" si="1" ref="H24:K25">I104</f>
        <v>81</v>
      </c>
      <c r="J24" s="74">
        <f t="shared" si="1"/>
        <v>81</v>
      </c>
      <c r="K24" s="74">
        <f t="shared" si="1"/>
        <v>97.4</v>
      </c>
      <c r="W24" s="74">
        <f>W104</f>
        <v>337.4</v>
      </c>
      <c r="X24" s="74">
        <f>X104</f>
        <v>350.8</v>
      </c>
    </row>
    <row r="25" spans="1:24" ht="14.25" customHeight="1" hidden="1">
      <c r="A25" s="26" t="s">
        <v>21</v>
      </c>
      <c r="B25" s="26"/>
      <c r="C25" s="26"/>
      <c r="D25" s="26"/>
      <c r="E25" s="26"/>
      <c r="F25" s="26">
        <v>222</v>
      </c>
      <c r="G25" s="74">
        <f t="shared" si="0"/>
        <v>0</v>
      </c>
      <c r="H25" s="74">
        <f t="shared" si="1"/>
        <v>0</v>
      </c>
      <c r="I25" s="74">
        <f t="shared" si="1"/>
        <v>0</v>
      </c>
      <c r="J25" s="74">
        <f t="shared" si="1"/>
        <v>0</v>
      </c>
      <c r="K25" s="74">
        <f t="shared" si="1"/>
        <v>0</v>
      </c>
      <c r="W25" s="74">
        <f>W105</f>
        <v>0</v>
      </c>
      <c r="X25" s="74">
        <f>X105</f>
        <v>0</v>
      </c>
    </row>
    <row r="26" spans="1:24" ht="14.25" customHeight="1">
      <c r="A26" s="26" t="s">
        <v>257</v>
      </c>
      <c r="B26" s="26"/>
      <c r="C26" s="26"/>
      <c r="D26" s="26"/>
      <c r="E26" s="26"/>
      <c r="F26" s="26">
        <v>223</v>
      </c>
      <c r="G26" s="74">
        <f t="shared" si="0"/>
        <v>675.73</v>
      </c>
      <c r="H26" s="74">
        <f>H28+H29+H30+H31</f>
        <v>135.1</v>
      </c>
      <c r="I26" s="74">
        <f>I28+I29+I30+I31</f>
        <v>169.2</v>
      </c>
      <c r="J26" s="74">
        <f>J28+J29+J30+J31</f>
        <v>64.13000000000001</v>
      </c>
      <c r="K26" s="74">
        <f>K28+K29+K30+K31</f>
        <v>307.3</v>
      </c>
      <c r="W26" s="74">
        <f>W28+W29+W30+W31</f>
        <v>695.7</v>
      </c>
      <c r="X26" s="74">
        <f>X28+X29+X30+X31</f>
        <v>715.5</v>
      </c>
    </row>
    <row r="27" spans="1:24" ht="11.25" customHeight="1">
      <c r="A27" s="26" t="s">
        <v>23</v>
      </c>
      <c r="B27" s="26"/>
      <c r="C27" s="26"/>
      <c r="D27" s="26"/>
      <c r="E27" s="26"/>
      <c r="F27" s="26"/>
      <c r="G27" s="74"/>
      <c r="H27" s="74"/>
      <c r="I27" s="74"/>
      <c r="J27" s="74"/>
      <c r="K27" s="74"/>
      <c r="W27" s="74"/>
      <c r="X27" s="74"/>
    </row>
    <row r="28" spans="1:24" ht="14.25" customHeight="1">
      <c r="A28" s="26" t="s">
        <v>258</v>
      </c>
      <c r="B28" s="26"/>
      <c r="C28" s="26"/>
      <c r="D28" s="26"/>
      <c r="E28" s="26"/>
      <c r="F28" s="26" t="s">
        <v>261</v>
      </c>
      <c r="G28" s="74">
        <f t="shared" si="0"/>
        <v>422.1</v>
      </c>
      <c r="H28" s="74">
        <f aca="true" t="shared" si="2" ref="H28:K30">H108</f>
        <v>84.4</v>
      </c>
      <c r="I28" s="74">
        <f t="shared" si="2"/>
        <v>106</v>
      </c>
      <c r="J28" s="74">
        <f t="shared" si="2"/>
        <v>0</v>
      </c>
      <c r="K28" s="74">
        <f t="shared" si="2"/>
        <v>231.7</v>
      </c>
      <c r="W28" s="74">
        <f aca="true" t="shared" si="3" ref="W28:X30">W108</f>
        <v>439</v>
      </c>
      <c r="X28" s="74">
        <f t="shared" si="3"/>
        <v>456.6</v>
      </c>
    </row>
    <row r="29" spans="1:24" ht="14.25" customHeight="1">
      <c r="A29" s="26" t="s">
        <v>259</v>
      </c>
      <c r="B29" s="26"/>
      <c r="C29" s="26"/>
      <c r="D29" s="26"/>
      <c r="E29" s="26"/>
      <c r="F29" s="26" t="s">
        <v>262</v>
      </c>
      <c r="G29" s="74">
        <f t="shared" si="0"/>
        <v>248</v>
      </c>
      <c r="H29" s="74">
        <f t="shared" si="2"/>
        <v>49.6</v>
      </c>
      <c r="I29" s="74">
        <f t="shared" si="2"/>
        <v>62</v>
      </c>
      <c r="J29" s="74">
        <f t="shared" si="2"/>
        <v>62</v>
      </c>
      <c r="K29" s="74">
        <f t="shared" si="2"/>
        <v>74.4</v>
      </c>
      <c r="W29" s="74">
        <f t="shared" si="3"/>
        <v>250.2</v>
      </c>
      <c r="X29" s="74">
        <f t="shared" si="3"/>
        <v>252.4</v>
      </c>
    </row>
    <row r="30" spans="1:24" ht="14.25" customHeight="1">
      <c r="A30" s="26" t="s">
        <v>260</v>
      </c>
      <c r="B30" s="26"/>
      <c r="C30" s="26"/>
      <c r="D30" s="26"/>
      <c r="E30" s="26"/>
      <c r="F30" s="26" t="s">
        <v>263</v>
      </c>
      <c r="G30" s="74">
        <f t="shared" si="0"/>
        <v>4.7</v>
      </c>
      <c r="H30" s="74">
        <f t="shared" si="2"/>
        <v>1.1</v>
      </c>
      <c r="I30" s="74">
        <f t="shared" si="2"/>
        <v>1.2</v>
      </c>
      <c r="J30" s="74">
        <f t="shared" si="2"/>
        <v>1.2</v>
      </c>
      <c r="K30" s="74">
        <f t="shared" si="2"/>
        <v>1.2</v>
      </c>
      <c r="W30" s="74">
        <f t="shared" si="3"/>
        <v>4.7</v>
      </c>
      <c r="X30" s="74">
        <f t="shared" si="3"/>
        <v>4.7</v>
      </c>
    </row>
    <row r="31" spans="1:24" ht="14.25" customHeight="1">
      <c r="A31" s="26" t="s">
        <v>264</v>
      </c>
      <c r="B31" s="26"/>
      <c r="C31" s="26"/>
      <c r="D31" s="26"/>
      <c r="E31" s="26"/>
      <c r="F31" s="26" t="s">
        <v>265</v>
      </c>
      <c r="G31" s="74">
        <f t="shared" si="0"/>
        <v>0.93</v>
      </c>
      <c r="H31" s="74">
        <f>H137</f>
        <v>0</v>
      </c>
      <c r="I31" s="74">
        <f>I137</f>
        <v>0</v>
      </c>
      <c r="J31" s="74">
        <f>J137</f>
        <v>0.93</v>
      </c>
      <c r="K31" s="74">
        <f>K137</f>
        <v>0</v>
      </c>
      <c r="W31" s="74">
        <f>W137</f>
        <v>1.8</v>
      </c>
      <c r="X31" s="74">
        <f>X137</f>
        <v>1.8</v>
      </c>
    </row>
    <row r="32" spans="1:24" ht="13.5" customHeight="1">
      <c r="A32" s="26" t="s">
        <v>153</v>
      </c>
      <c r="B32" s="26"/>
      <c r="C32" s="26"/>
      <c r="D32" s="26"/>
      <c r="E32" s="26"/>
      <c r="F32" s="26">
        <v>225</v>
      </c>
      <c r="G32" s="74">
        <f>H32+I32+J32+K32</f>
        <v>342.3</v>
      </c>
      <c r="H32" s="74">
        <f>H113+H138+H56</f>
        <v>84.2</v>
      </c>
      <c r="I32" s="74">
        <f>I113+I138+I56</f>
        <v>84.2</v>
      </c>
      <c r="J32" s="74">
        <f>J113+J138+J56</f>
        <v>89.7</v>
      </c>
      <c r="K32" s="74">
        <f>K113+K138+K56</f>
        <v>84.2</v>
      </c>
      <c r="W32" s="74">
        <f>W113+W138+W56</f>
        <v>342.3</v>
      </c>
      <c r="X32" s="74">
        <f>X113+X138+X56</f>
        <v>342.3</v>
      </c>
    </row>
    <row r="33" spans="1:24" ht="13.5" customHeight="1">
      <c r="A33" s="26" t="s">
        <v>30</v>
      </c>
      <c r="B33" s="26"/>
      <c r="C33" s="26"/>
      <c r="D33" s="26"/>
      <c r="E33" s="26"/>
      <c r="F33" s="26">
        <v>226</v>
      </c>
      <c r="G33" s="74">
        <f>H33+I33+J33+K33</f>
        <v>1660.1</v>
      </c>
      <c r="H33" s="74">
        <f>H65+H95+H92+H97+H117+H145+H139+H143+H57</f>
        <v>426.1</v>
      </c>
      <c r="I33" s="74">
        <f>I65+I95+I92+I97+I117+I145+I139+I143+I57</f>
        <v>453</v>
      </c>
      <c r="J33" s="74">
        <f>J65+J95+J92+J97+J117+J145+J139+J143+J57</f>
        <v>403</v>
      </c>
      <c r="K33" s="74">
        <f>K65+K95+K92+K97+K117+K145+K139+K143+K57</f>
        <v>378</v>
      </c>
      <c r="W33" s="74">
        <f>W65+W95+W92+W97+W117+W145+W139+W143+W57</f>
        <v>1580.1</v>
      </c>
      <c r="X33" s="74">
        <f>X65+X95+X92+X97+X117+X145+X139+X143+X57</f>
        <v>1410.1</v>
      </c>
    </row>
    <row r="34" spans="1:24" ht="12.75" customHeight="1" hidden="1">
      <c r="A34" s="26" t="s">
        <v>107</v>
      </c>
      <c r="B34" s="26"/>
      <c r="C34" s="26"/>
      <c r="D34" s="26"/>
      <c r="E34" s="26"/>
      <c r="F34" s="26">
        <v>262</v>
      </c>
      <c r="G34" s="74">
        <f>H34+I34+J34+K34</f>
        <v>0</v>
      </c>
      <c r="H34" s="74">
        <f>H66</f>
        <v>0</v>
      </c>
      <c r="I34" s="74">
        <f>I66</f>
        <v>0</v>
      </c>
      <c r="J34" s="74">
        <f>J66</f>
        <v>0</v>
      </c>
      <c r="K34" s="74"/>
      <c r="W34" s="74">
        <f>W66</f>
        <v>0</v>
      </c>
      <c r="X34" s="74"/>
    </row>
    <row r="35" spans="1:24" ht="12" customHeight="1">
      <c r="A35" s="26" t="s">
        <v>31</v>
      </c>
      <c r="B35" s="26"/>
      <c r="C35" s="26"/>
      <c r="D35" s="26"/>
      <c r="E35" s="26"/>
      <c r="F35" s="26">
        <v>290</v>
      </c>
      <c r="G35" s="74">
        <f>H35+I35+J35+K35</f>
        <v>1261</v>
      </c>
      <c r="H35" s="74">
        <f>H89+H67+H118+H128+H141+H55</f>
        <v>263.5</v>
      </c>
      <c r="I35" s="74">
        <f>I89+I67+I118+I128+I141+I55</f>
        <v>134.22000000000003</v>
      </c>
      <c r="J35" s="74">
        <f>J89+J67+J118+J128+J141+J55</f>
        <v>357.83</v>
      </c>
      <c r="K35" s="74">
        <f>K89+K67+K118+K128+K141+K55</f>
        <v>505.45</v>
      </c>
      <c r="W35" s="74">
        <f>W89+W67+W118+W128+W141+W55</f>
        <v>1255</v>
      </c>
      <c r="X35" s="74">
        <f>X89+X67+X118+X128+X141+X55</f>
        <v>1255</v>
      </c>
    </row>
    <row r="36" spans="1:24" ht="13.5" customHeight="1">
      <c r="A36" s="25" t="s">
        <v>33</v>
      </c>
      <c r="B36" s="26"/>
      <c r="C36" s="26"/>
      <c r="D36" s="26"/>
      <c r="E36" s="26"/>
      <c r="F36" s="26">
        <v>300</v>
      </c>
      <c r="G36" s="74">
        <f>G37+G38</f>
        <v>507.20000000000005</v>
      </c>
      <c r="H36" s="74">
        <f>H37+H38</f>
        <v>103.4</v>
      </c>
      <c r="I36" s="74">
        <f>I37+I38</f>
        <v>134.6</v>
      </c>
      <c r="J36" s="74">
        <f>J37+J38</f>
        <v>134.6</v>
      </c>
      <c r="K36" s="74">
        <f>K37+K38</f>
        <v>134.6</v>
      </c>
      <c r="W36" s="74">
        <f>W37+W38</f>
        <v>507.20000000000005</v>
      </c>
      <c r="X36" s="74">
        <f>X37+X38</f>
        <v>507.20000000000005</v>
      </c>
    </row>
    <row r="37" spans="1:24" ht="12.75" customHeight="1">
      <c r="A37" s="25" t="s">
        <v>34</v>
      </c>
      <c r="B37" s="26"/>
      <c r="C37" s="26"/>
      <c r="D37" s="26"/>
      <c r="E37" s="26"/>
      <c r="F37" s="26">
        <v>310</v>
      </c>
      <c r="G37" s="74">
        <f>H37+I37+J37+K37</f>
        <v>100</v>
      </c>
      <c r="H37" s="74">
        <f>H69+H123</f>
        <v>25</v>
      </c>
      <c r="I37" s="74">
        <f>I69+I123</f>
        <v>25</v>
      </c>
      <c r="J37" s="74">
        <f>J69+J123</f>
        <v>25</v>
      </c>
      <c r="K37" s="74">
        <f>K69+K123</f>
        <v>25</v>
      </c>
      <c r="W37" s="74">
        <f>W69+W123</f>
        <v>100</v>
      </c>
      <c r="X37" s="74">
        <f>X69+X123</f>
        <v>100</v>
      </c>
    </row>
    <row r="38" spans="1:24" ht="12" customHeight="1">
      <c r="A38" s="25" t="s">
        <v>35</v>
      </c>
      <c r="B38" s="26"/>
      <c r="C38" s="26"/>
      <c r="D38" s="26"/>
      <c r="E38" s="26"/>
      <c r="F38" s="26">
        <v>340</v>
      </c>
      <c r="G38" s="74">
        <f>H38+I38+J38+K38</f>
        <v>407.20000000000005</v>
      </c>
      <c r="H38" s="74">
        <f>H41+H40</f>
        <v>78.4</v>
      </c>
      <c r="I38" s="74">
        <f>I41+I40</f>
        <v>109.6</v>
      </c>
      <c r="J38" s="74">
        <f>J41+J40</f>
        <v>109.6</v>
      </c>
      <c r="K38" s="74">
        <f>K41+K40</f>
        <v>109.6</v>
      </c>
      <c r="W38" s="74">
        <f>W41+W40</f>
        <v>407.20000000000005</v>
      </c>
      <c r="X38" s="74">
        <f>X41+X40</f>
        <v>407.20000000000005</v>
      </c>
    </row>
    <row r="39" spans="1:24" ht="10.5" customHeight="1">
      <c r="A39" s="25" t="s">
        <v>23</v>
      </c>
      <c r="B39" s="26"/>
      <c r="C39" s="26"/>
      <c r="D39" s="26"/>
      <c r="E39" s="26"/>
      <c r="F39" s="26"/>
      <c r="G39" s="74"/>
      <c r="H39" s="74"/>
      <c r="I39" s="74"/>
      <c r="J39" s="74"/>
      <c r="K39" s="74"/>
      <c r="O39" s="27"/>
      <c r="P39" s="27"/>
      <c r="Q39" s="27"/>
      <c r="W39" s="74"/>
      <c r="X39" s="74"/>
    </row>
    <row r="40" spans="1:24" ht="10.5" customHeight="1">
      <c r="A40" s="25" t="s">
        <v>36</v>
      </c>
      <c r="B40" s="26"/>
      <c r="C40" s="26"/>
      <c r="D40" s="26"/>
      <c r="E40" s="26"/>
      <c r="F40" s="28" t="s">
        <v>288</v>
      </c>
      <c r="G40" s="74">
        <f>H40+I40+J40+K40</f>
        <v>250.8</v>
      </c>
      <c r="H40" s="74">
        <f>H125</f>
        <v>40.8</v>
      </c>
      <c r="I40" s="74">
        <f>I125</f>
        <v>70</v>
      </c>
      <c r="J40" s="74">
        <f>J125</f>
        <v>70</v>
      </c>
      <c r="K40" s="74">
        <f>K125</f>
        <v>70</v>
      </c>
      <c r="W40" s="74">
        <f>W125</f>
        <v>250.8</v>
      </c>
      <c r="X40" s="74">
        <f>X125</f>
        <v>250.8</v>
      </c>
    </row>
    <row r="41" spans="1:24" ht="12.75" customHeight="1">
      <c r="A41" s="25" t="s">
        <v>37</v>
      </c>
      <c r="B41" s="26"/>
      <c r="C41" s="26"/>
      <c r="D41" s="26"/>
      <c r="E41" s="26"/>
      <c r="F41" s="28" t="s">
        <v>58</v>
      </c>
      <c r="G41" s="74">
        <f>H41+I41+J41+K41</f>
        <v>156.4</v>
      </c>
      <c r="H41" s="74">
        <f>H73+H58+H127</f>
        <v>37.6</v>
      </c>
      <c r="I41" s="74">
        <f>I73+I58+I127</f>
        <v>39.6</v>
      </c>
      <c r="J41" s="74">
        <f>J73+J58+J127</f>
        <v>39.6</v>
      </c>
      <c r="K41" s="74">
        <f>K73+K58+K127</f>
        <v>39.6</v>
      </c>
      <c r="N41" s="29"/>
      <c r="O41" s="29"/>
      <c r="P41" s="29"/>
      <c r="Q41" s="29"/>
      <c r="W41" s="74">
        <f>W73+W58+W127</f>
        <v>156.4</v>
      </c>
      <c r="X41" s="74">
        <f>X73+X58+X127</f>
        <v>156.4</v>
      </c>
    </row>
    <row r="42" spans="1:24" ht="13.5" customHeight="1" hidden="1">
      <c r="A42" s="30" t="s">
        <v>38</v>
      </c>
      <c r="B42" s="31" t="s">
        <v>88</v>
      </c>
      <c r="C42" s="31" t="s">
        <v>39</v>
      </c>
      <c r="D42" s="31" t="s">
        <v>155</v>
      </c>
      <c r="E42" s="31" t="s">
        <v>144</v>
      </c>
      <c r="F42" s="24"/>
      <c r="G42" s="75">
        <f>G43</f>
        <v>0</v>
      </c>
      <c r="H42" s="75">
        <f>H43</f>
        <v>0</v>
      </c>
      <c r="I42" s="75">
        <f>I43</f>
        <v>0</v>
      </c>
      <c r="J42" s="75">
        <f>J43</f>
        <v>0</v>
      </c>
      <c r="K42" s="75">
        <f>K43</f>
        <v>0</v>
      </c>
      <c r="W42" s="75">
        <f>W43</f>
        <v>0</v>
      </c>
      <c r="X42" s="75">
        <f>X43</f>
        <v>0</v>
      </c>
    </row>
    <row r="43" spans="1:24" ht="12.75" customHeight="1" hidden="1">
      <c r="A43" s="25" t="s">
        <v>15</v>
      </c>
      <c r="B43" s="32" t="s">
        <v>88</v>
      </c>
      <c r="C43" s="32" t="s">
        <v>39</v>
      </c>
      <c r="D43" s="32" t="s">
        <v>155</v>
      </c>
      <c r="E43" s="32" t="s">
        <v>102</v>
      </c>
      <c r="F43" s="32" t="s">
        <v>41</v>
      </c>
      <c r="G43" s="74">
        <f>G44+G46</f>
        <v>0</v>
      </c>
      <c r="H43" s="74">
        <f>H44+H46</f>
        <v>0</v>
      </c>
      <c r="I43" s="74">
        <f>I44+I46</f>
        <v>0</v>
      </c>
      <c r="J43" s="74">
        <f>J44+J46</f>
        <v>0</v>
      </c>
      <c r="K43" s="74">
        <f>K44+K46</f>
        <v>0</v>
      </c>
      <c r="W43" s="74">
        <f>W44+W46</f>
        <v>0</v>
      </c>
      <c r="X43" s="74">
        <f>X44+X46</f>
        <v>0</v>
      </c>
    </row>
    <row r="44" spans="1:24" ht="12.75" customHeight="1" hidden="1">
      <c r="A44" s="26" t="s">
        <v>16</v>
      </c>
      <c r="B44" s="32" t="s">
        <v>88</v>
      </c>
      <c r="C44" s="32" t="s">
        <v>39</v>
      </c>
      <c r="D44" s="32" t="s">
        <v>155</v>
      </c>
      <c r="E44" s="32" t="s">
        <v>103</v>
      </c>
      <c r="F44" s="32" t="s">
        <v>42</v>
      </c>
      <c r="G44" s="74">
        <f>H44+I44+J44+K44</f>
        <v>0</v>
      </c>
      <c r="H44" s="74"/>
      <c r="I44" s="74"/>
      <c r="J44" s="74"/>
      <c r="K44" s="74"/>
      <c r="W44" s="74"/>
      <c r="X44" s="74"/>
    </row>
    <row r="45" spans="1:24" ht="14.25" customHeight="1" hidden="1">
      <c r="A45" s="26" t="s">
        <v>17</v>
      </c>
      <c r="B45" s="32" t="s">
        <v>88</v>
      </c>
      <c r="C45" s="32" t="s">
        <v>39</v>
      </c>
      <c r="D45" s="32" t="s">
        <v>155</v>
      </c>
      <c r="E45" s="32" t="s">
        <v>108</v>
      </c>
      <c r="F45" s="32" t="s">
        <v>43</v>
      </c>
      <c r="G45" s="74"/>
      <c r="H45" s="74"/>
      <c r="I45" s="74"/>
      <c r="J45" s="74"/>
      <c r="K45" s="74"/>
      <c r="W45" s="74"/>
      <c r="X45" s="74"/>
    </row>
    <row r="46" spans="1:24" ht="12" customHeight="1" hidden="1">
      <c r="A46" s="26" t="s">
        <v>18</v>
      </c>
      <c r="B46" s="32" t="s">
        <v>88</v>
      </c>
      <c r="C46" s="32" t="s">
        <v>39</v>
      </c>
      <c r="D46" s="32" t="s">
        <v>155</v>
      </c>
      <c r="E46" s="32" t="s">
        <v>292</v>
      </c>
      <c r="F46" s="32" t="s">
        <v>44</v>
      </c>
      <c r="G46" s="74">
        <f aca="true" t="shared" si="4" ref="G46:G73">H46+I46+J46+K46</f>
        <v>0</v>
      </c>
      <c r="H46" s="74"/>
      <c r="I46" s="74"/>
      <c r="J46" s="74"/>
      <c r="K46" s="74"/>
      <c r="W46" s="74"/>
      <c r="X46" s="74"/>
    </row>
    <row r="47" spans="1:24" ht="12.75" customHeight="1">
      <c r="A47" s="30" t="s">
        <v>45</v>
      </c>
      <c r="B47" s="31" t="s">
        <v>88</v>
      </c>
      <c r="C47" s="31" t="s">
        <v>46</v>
      </c>
      <c r="D47" s="31" t="s">
        <v>155</v>
      </c>
      <c r="E47" s="31" t="s">
        <v>66</v>
      </c>
      <c r="F47" s="31"/>
      <c r="G47" s="75">
        <f t="shared" si="4"/>
        <v>2335.6</v>
      </c>
      <c r="H47" s="75">
        <f>H48+H58+H56+H55+H52+H57</f>
        <v>468.2</v>
      </c>
      <c r="I47" s="75">
        <f>I48+I58+I56+I55+I52+I57</f>
        <v>583.9</v>
      </c>
      <c r="J47" s="75">
        <f>J48+J58+J56+J55+J52+J57</f>
        <v>583.9</v>
      </c>
      <c r="K47" s="75">
        <f>K48+K58+K56+K55+K52+K57</f>
        <v>699.5999999999999</v>
      </c>
      <c r="W47" s="75">
        <f>W48+W58+W56+W55+W52+W57</f>
        <v>2335.6000000000004</v>
      </c>
      <c r="X47" s="75">
        <f>X48+X58+X56+X55+X52+X57</f>
        <v>2335.6000000000004</v>
      </c>
    </row>
    <row r="48" spans="1:24" ht="12.75" customHeight="1">
      <c r="A48" s="25" t="s">
        <v>15</v>
      </c>
      <c r="B48" s="32" t="s">
        <v>88</v>
      </c>
      <c r="C48" s="32" t="s">
        <v>46</v>
      </c>
      <c r="D48" s="32" t="s">
        <v>155</v>
      </c>
      <c r="E48" s="32" t="s">
        <v>102</v>
      </c>
      <c r="F48" s="32" t="s">
        <v>41</v>
      </c>
      <c r="G48" s="74">
        <f t="shared" si="4"/>
        <v>1277.1999999999998</v>
      </c>
      <c r="H48" s="74">
        <f>H49+H51</f>
        <v>255.5</v>
      </c>
      <c r="I48" s="74">
        <f>I49+I50+I51</f>
        <v>319.29999999999995</v>
      </c>
      <c r="J48" s="74">
        <f>J49+J50+J51</f>
        <v>319.29999999999995</v>
      </c>
      <c r="K48" s="74">
        <f>K49+K50+K51</f>
        <v>383.09999999999997</v>
      </c>
      <c r="O48" s="18"/>
      <c r="W48" s="74">
        <f>W49+W50+W51</f>
        <v>1277.2</v>
      </c>
      <c r="X48" s="74">
        <f>X49+X50+X51</f>
        <v>1277.2</v>
      </c>
    </row>
    <row r="49" spans="1:24" ht="13.5" customHeight="1">
      <c r="A49" s="26" t="s">
        <v>16</v>
      </c>
      <c r="B49" s="32" t="s">
        <v>88</v>
      </c>
      <c r="C49" s="32" t="s">
        <v>46</v>
      </c>
      <c r="D49" s="32" t="s">
        <v>155</v>
      </c>
      <c r="E49" s="32" t="s">
        <v>103</v>
      </c>
      <c r="F49" s="32" t="s">
        <v>42</v>
      </c>
      <c r="G49" s="74">
        <f t="shared" si="4"/>
        <v>980.9999999999999</v>
      </c>
      <c r="H49" s="74">
        <v>196.2</v>
      </c>
      <c r="I49" s="74">
        <v>245.2</v>
      </c>
      <c r="J49" s="74">
        <v>245.2</v>
      </c>
      <c r="K49" s="74">
        <v>294.4</v>
      </c>
      <c r="L49" s="18"/>
      <c r="W49" s="74">
        <v>981</v>
      </c>
      <c r="X49" s="74">
        <v>981</v>
      </c>
    </row>
    <row r="50" spans="1:24" ht="12.75" customHeight="1" hidden="1">
      <c r="A50" s="26" t="s">
        <v>17</v>
      </c>
      <c r="B50" s="32" t="s">
        <v>88</v>
      </c>
      <c r="C50" s="32" t="s">
        <v>46</v>
      </c>
      <c r="D50" s="32" t="s">
        <v>155</v>
      </c>
      <c r="E50" s="32" t="s">
        <v>108</v>
      </c>
      <c r="F50" s="32" t="s">
        <v>43</v>
      </c>
      <c r="G50" s="74">
        <f t="shared" si="4"/>
        <v>0</v>
      </c>
      <c r="H50" s="74"/>
      <c r="I50" s="74"/>
      <c r="J50" s="74"/>
      <c r="K50" s="74"/>
      <c r="W50" s="74"/>
      <c r="X50" s="74"/>
    </row>
    <row r="51" spans="1:24" ht="13.5" customHeight="1">
      <c r="A51" s="26" t="s">
        <v>18</v>
      </c>
      <c r="B51" s="32" t="s">
        <v>88</v>
      </c>
      <c r="C51" s="32" t="s">
        <v>46</v>
      </c>
      <c r="D51" s="32" t="s">
        <v>155</v>
      </c>
      <c r="E51" s="32" t="s">
        <v>292</v>
      </c>
      <c r="F51" s="32" t="s">
        <v>44</v>
      </c>
      <c r="G51" s="74">
        <f t="shared" si="4"/>
        <v>296.2</v>
      </c>
      <c r="H51" s="74">
        <v>59.3</v>
      </c>
      <c r="I51" s="74">
        <v>74.1</v>
      </c>
      <c r="J51" s="74">
        <v>74.1</v>
      </c>
      <c r="K51" s="74">
        <v>88.7</v>
      </c>
      <c r="W51" s="74">
        <v>296.2</v>
      </c>
      <c r="X51" s="74">
        <v>296.2</v>
      </c>
    </row>
    <row r="52" spans="1:24" ht="13.5" customHeight="1">
      <c r="A52" s="25" t="s">
        <v>15</v>
      </c>
      <c r="B52" s="32" t="s">
        <v>88</v>
      </c>
      <c r="C52" s="32" t="s">
        <v>46</v>
      </c>
      <c r="D52" s="31" t="s">
        <v>342</v>
      </c>
      <c r="E52" s="32" t="s">
        <v>102</v>
      </c>
      <c r="F52" s="32" t="s">
        <v>41</v>
      </c>
      <c r="G52" s="75">
        <f>H52+I52+J52+K52</f>
        <v>1038.4</v>
      </c>
      <c r="H52" s="75">
        <f>H53+H54</f>
        <v>207.7</v>
      </c>
      <c r="I52" s="75">
        <f>I53+I54</f>
        <v>259.6</v>
      </c>
      <c r="J52" s="75">
        <f>J53+J54</f>
        <v>259.6</v>
      </c>
      <c r="K52" s="75">
        <f>K53+K54</f>
        <v>311.5</v>
      </c>
      <c r="W52" s="75">
        <f>W53+W54</f>
        <v>1038.4</v>
      </c>
      <c r="X52" s="75">
        <f>X53+X54</f>
        <v>1038.4</v>
      </c>
    </row>
    <row r="53" spans="1:24" ht="13.5" customHeight="1">
      <c r="A53" s="26" t="s">
        <v>16</v>
      </c>
      <c r="B53" s="32" t="s">
        <v>88</v>
      </c>
      <c r="C53" s="32" t="s">
        <v>46</v>
      </c>
      <c r="D53" s="32" t="s">
        <v>342</v>
      </c>
      <c r="E53" s="32" t="s">
        <v>103</v>
      </c>
      <c r="F53" s="32" t="s">
        <v>42</v>
      </c>
      <c r="G53" s="74">
        <f t="shared" si="4"/>
        <v>797.5999999999999</v>
      </c>
      <c r="H53" s="74">
        <v>159.5</v>
      </c>
      <c r="I53" s="74">
        <v>199.4</v>
      </c>
      <c r="J53" s="74">
        <v>199.4</v>
      </c>
      <c r="K53" s="77">
        <v>239.3</v>
      </c>
      <c r="W53" s="74">
        <v>797.6</v>
      </c>
      <c r="X53" s="77">
        <v>797.6</v>
      </c>
    </row>
    <row r="54" spans="1:24" ht="13.5" customHeight="1">
      <c r="A54" s="26" t="s">
        <v>18</v>
      </c>
      <c r="B54" s="32" t="s">
        <v>88</v>
      </c>
      <c r="C54" s="32" t="s">
        <v>46</v>
      </c>
      <c r="D54" s="32" t="s">
        <v>342</v>
      </c>
      <c r="E54" s="32" t="s">
        <v>292</v>
      </c>
      <c r="F54" s="32" t="s">
        <v>44</v>
      </c>
      <c r="G54" s="74">
        <f t="shared" si="4"/>
        <v>240.8</v>
      </c>
      <c r="H54" s="74">
        <v>48.2</v>
      </c>
      <c r="I54" s="74">
        <v>60.2</v>
      </c>
      <c r="J54" s="74">
        <v>60.2</v>
      </c>
      <c r="K54" s="77">
        <v>72.2</v>
      </c>
      <c r="W54" s="74">
        <v>240.8</v>
      </c>
      <c r="X54" s="77">
        <v>240.8</v>
      </c>
    </row>
    <row r="55" spans="1:24" ht="13.5" customHeight="1" hidden="1">
      <c r="A55" s="26" t="s">
        <v>31</v>
      </c>
      <c r="B55" s="32" t="s">
        <v>88</v>
      </c>
      <c r="C55" s="32" t="s">
        <v>46</v>
      </c>
      <c r="D55" s="32" t="s">
        <v>155</v>
      </c>
      <c r="E55" s="32" t="s">
        <v>297</v>
      </c>
      <c r="F55" s="32" t="s">
        <v>53</v>
      </c>
      <c r="G55" s="74">
        <f t="shared" si="4"/>
        <v>0</v>
      </c>
      <c r="H55" s="74">
        <v>0</v>
      </c>
      <c r="I55" s="74">
        <v>0</v>
      </c>
      <c r="J55" s="74">
        <v>0</v>
      </c>
      <c r="K55" s="74">
        <v>0</v>
      </c>
      <c r="W55" s="74">
        <v>0</v>
      </c>
      <c r="X55" s="74">
        <v>0</v>
      </c>
    </row>
    <row r="56" spans="1:24" ht="13.5" customHeight="1">
      <c r="A56" s="26" t="s">
        <v>153</v>
      </c>
      <c r="B56" s="32" t="s">
        <v>88</v>
      </c>
      <c r="C56" s="32" t="s">
        <v>46</v>
      </c>
      <c r="D56" s="32" t="s">
        <v>158</v>
      </c>
      <c r="E56" s="32" t="s">
        <v>109</v>
      </c>
      <c r="F56" s="32" t="s">
        <v>51</v>
      </c>
      <c r="G56" s="74">
        <v>20</v>
      </c>
      <c r="H56" s="74">
        <v>5</v>
      </c>
      <c r="I56" s="74">
        <v>5</v>
      </c>
      <c r="J56" s="74">
        <v>5</v>
      </c>
      <c r="K56" s="74">
        <v>5</v>
      </c>
      <c r="W56" s="74">
        <v>20</v>
      </c>
      <c r="X56" s="74">
        <v>20</v>
      </c>
    </row>
    <row r="57" spans="1:24" ht="13.5" customHeight="1" hidden="1">
      <c r="A57" s="26" t="s">
        <v>30</v>
      </c>
      <c r="B57" s="32" t="s">
        <v>88</v>
      </c>
      <c r="C57" s="32" t="s">
        <v>46</v>
      </c>
      <c r="D57" s="32" t="s">
        <v>158</v>
      </c>
      <c r="E57" s="32" t="s">
        <v>109</v>
      </c>
      <c r="F57" s="32" t="s">
        <v>52</v>
      </c>
      <c r="G57" s="74">
        <f t="shared" si="4"/>
        <v>0</v>
      </c>
      <c r="H57" s="74"/>
      <c r="I57" s="74"/>
      <c r="J57" s="74"/>
      <c r="K57" s="74"/>
      <c r="W57" s="74"/>
      <c r="X57" s="74"/>
    </row>
    <row r="58" spans="1:24" ht="13.5" customHeight="1" hidden="1">
      <c r="A58" s="25" t="s">
        <v>37</v>
      </c>
      <c r="B58" s="32" t="s">
        <v>88</v>
      </c>
      <c r="C58" s="32" t="s">
        <v>46</v>
      </c>
      <c r="D58" s="32" t="s">
        <v>158</v>
      </c>
      <c r="E58" s="32" t="s">
        <v>109</v>
      </c>
      <c r="F58" s="32" t="s">
        <v>57</v>
      </c>
      <c r="G58" s="74">
        <f t="shared" si="4"/>
        <v>0</v>
      </c>
      <c r="H58" s="74"/>
      <c r="I58" s="74"/>
      <c r="J58" s="74"/>
      <c r="K58" s="74"/>
      <c r="W58" s="74"/>
      <c r="X58" s="74"/>
    </row>
    <row r="59" spans="1:24" ht="13.5" customHeight="1">
      <c r="A59" s="30" t="s">
        <v>59</v>
      </c>
      <c r="B59" s="31" t="s">
        <v>88</v>
      </c>
      <c r="C59" s="31" t="s">
        <v>60</v>
      </c>
      <c r="D59" s="31" t="s">
        <v>173</v>
      </c>
      <c r="E59" s="31" t="s">
        <v>66</v>
      </c>
      <c r="F59" s="31"/>
      <c r="G59" s="75">
        <f t="shared" si="4"/>
        <v>228.29999999999998</v>
      </c>
      <c r="H59" s="75">
        <f>H60+H67+H68+H66+H64</f>
        <v>44.5</v>
      </c>
      <c r="I59" s="75">
        <f>I60+I67+I68+I66+I64</f>
        <v>57.599999999999994</v>
      </c>
      <c r="J59" s="75">
        <f>J60+J67+J68+J66+J64</f>
        <v>57.599999999999994</v>
      </c>
      <c r="K59" s="75">
        <f>K60+K67+K68+K66+K64</f>
        <v>68.6</v>
      </c>
      <c r="W59" s="75">
        <f>W60+W67+W68+W66+W64</f>
        <v>228.29999999999998</v>
      </c>
      <c r="X59" s="75">
        <f>X60+X67+X68+X66+X64</f>
        <v>228.29999999999998</v>
      </c>
    </row>
    <row r="60" spans="1:24" ht="13.5" customHeight="1">
      <c r="A60" s="25" t="s">
        <v>15</v>
      </c>
      <c r="B60" s="32"/>
      <c r="C60" s="32"/>
      <c r="D60" s="32"/>
      <c r="E60" s="32"/>
      <c r="F60" s="32" t="s">
        <v>41</v>
      </c>
      <c r="G60" s="74">
        <f t="shared" si="4"/>
        <v>218.29999999999998</v>
      </c>
      <c r="H60" s="74">
        <f>H61+H63+H62</f>
        <v>43.5</v>
      </c>
      <c r="I60" s="74">
        <f>I61+I63+I62</f>
        <v>54.599999999999994</v>
      </c>
      <c r="J60" s="74">
        <f>J61+J63+J62</f>
        <v>54.599999999999994</v>
      </c>
      <c r="K60" s="74">
        <f>K61+K63+K62</f>
        <v>65.6</v>
      </c>
      <c r="W60" s="74">
        <f>W61+W63+W62</f>
        <v>218.29999999999998</v>
      </c>
      <c r="X60" s="74">
        <f>X61+X63+X62</f>
        <v>218.29999999999998</v>
      </c>
    </row>
    <row r="61" spans="1:24" ht="13.5" customHeight="1">
      <c r="A61" s="26" t="s">
        <v>16</v>
      </c>
      <c r="B61" s="32"/>
      <c r="C61" s="32"/>
      <c r="D61" s="32"/>
      <c r="E61" s="32"/>
      <c r="F61" s="32" t="s">
        <v>42</v>
      </c>
      <c r="G61" s="74">
        <f t="shared" si="4"/>
        <v>167.70000000000002</v>
      </c>
      <c r="H61" s="74">
        <f aca="true" t="shared" si="5" ref="H61:K63">H76</f>
        <v>33.5</v>
      </c>
      <c r="I61" s="74">
        <f t="shared" si="5"/>
        <v>41.9</v>
      </c>
      <c r="J61" s="74">
        <f t="shared" si="5"/>
        <v>41.9</v>
      </c>
      <c r="K61" s="74">
        <f t="shared" si="5"/>
        <v>50.4</v>
      </c>
      <c r="W61" s="74">
        <f aca="true" t="shared" si="6" ref="W61:X63">W76</f>
        <v>167.7</v>
      </c>
      <c r="X61" s="74">
        <f t="shared" si="6"/>
        <v>167.7</v>
      </c>
    </row>
    <row r="62" spans="1:24" ht="12.75" customHeight="1" hidden="1">
      <c r="A62" s="26" t="s">
        <v>17</v>
      </c>
      <c r="B62" s="32"/>
      <c r="C62" s="32"/>
      <c r="D62" s="32"/>
      <c r="E62" s="32"/>
      <c r="F62" s="32" t="s">
        <v>43</v>
      </c>
      <c r="G62" s="74">
        <f t="shared" si="4"/>
        <v>0</v>
      </c>
      <c r="H62" s="74">
        <f t="shared" si="5"/>
        <v>0</v>
      </c>
      <c r="I62" s="74">
        <f t="shared" si="5"/>
        <v>0</v>
      </c>
      <c r="J62" s="74">
        <f t="shared" si="5"/>
        <v>0</v>
      </c>
      <c r="K62" s="74">
        <f t="shared" si="5"/>
        <v>0</v>
      </c>
      <c r="W62" s="74">
        <f t="shared" si="6"/>
        <v>0</v>
      </c>
      <c r="X62" s="74">
        <f t="shared" si="6"/>
        <v>0</v>
      </c>
    </row>
    <row r="63" spans="1:24" ht="13.5" customHeight="1">
      <c r="A63" s="26" t="s">
        <v>18</v>
      </c>
      <c r="B63" s="32"/>
      <c r="C63" s="32"/>
      <c r="D63" s="32"/>
      <c r="E63" s="32"/>
      <c r="F63" s="32" t="s">
        <v>44</v>
      </c>
      <c r="G63" s="74">
        <f t="shared" si="4"/>
        <v>50.599999999999994</v>
      </c>
      <c r="H63" s="74">
        <f t="shared" si="5"/>
        <v>10</v>
      </c>
      <c r="I63" s="74">
        <f>I78</f>
        <v>12.7</v>
      </c>
      <c r="J63" s="74">
        <f t="shared" si="5"/>
        <v>12.7</v>
      </c>
      <c r="K63" s="74">
        <f t="shared" si="5"/>
        <v>15.2</v>
      </c>
      <c r="W63" s="74">
        <f t="shared" si="6"/>
        <v>50.6</v>
      </c>
      <c r="X63" s="74">
        <f t="shared" si="6"/>
        <v>50.6</v>
      </c>
    </row>
    <row r="64" spans="1:24" ht="12.75" customHeight="1" hidden="1">
      <c r="A64" s="26" t="s">
        <v>19</v>
      </c>
      <c r="B64" s="32"/>
      <c r="C64" s="32"/>
      <c r="D64" s="32"/>
      <c r="E64" s="32"/>
      <c r="F64" s="32" t="s">
        <v>47</v>
      </c>
      <c r="G64" s="74">
        <f t="shared" si="4"/>
        <v>0</v>
      </c>
      <c r="H64" s="74">
        <f>H65</f>
        <v>0</v>
      </c>
      <c r="I64" s="74">
        <f>I65</f>
        <v>0</v>
      </c>
      <c r="J64" s="74">
        <f>J65</f>
        <v>0</v>
      </c>
      <c r="K64" s="74">
        <f>K65</f>
        <v>0</v>
      </c>
      <c r="W64" s="74">
        <f>W65</f>
        <v>0</v>
      </c>
      <c r="X64" s="74">
        <f>X65</f>
        <v>0</v>
      </c>
    </row>
    <row r="65" spans="1:24" ht="15" customHeight="1" hidden="1">
      <c r="A65" s="26" t="s">
        <v>30</v>
      </c>
      <c r="B65" s="32"/>
      <c r="C65" s="32"/>
      <c r="D65" s="32"/>
      <c r="E65" s="32"/>
      <c r="F65" s="32" t="s">
        <v>52</v>
      </c>
      <c r="G65" s="74">
        <f t="shared" si="4"/>
        <v>0</v>
      </c>
      <c r="H65" s="74">
        <f>H82</f>
        <v>0</v>
      </c>
      <c r="I65" s="74">
        <f>I82</f>
        <v>0</v>
      </c>
      <c r="J65" s="74">
        <f>J82</f>
        <v>0</v>
      </c>
      <c r="K65" s="74">
        <f>K82</f>
        <v>0</v>
      </c>
      <c r="W65" s="74">
        <f>W82</f>
        <v>0</v>
      </c>
      <c r="X65" s="74">
        <f>X82</f>
        <v>0</v>
      </c>
    </row>
    <row r="66" spans="1:24" ht="14.25" customHeight="1" hidden="1">
      <c r="A66" s="26" t="s">
        <v>107</v>
      </c>
      <c r="B66" s="32"/>
      <c r="C66" s="32"/>
      <c r="D66" s="32"/>
      <c r="E66" s="32"/>
      <c r="F66" s="32" t="s">
        <v>54</v>
      </c>
      <c r="G66" s="74">
        <f t="shared" si="4"/>
        <v>0</v>
      </c>
      <c r="H66" s="74">
        <f>H79</f>
        <v>0</v>
      </c>
      <c r="I66" s="74">
        <f>I79</f>
        <v>0</v>
      </c>
      <c r="J66" s="74">
        <f>J79</f>
        <v>0</v>
      </c>
      <c r="K66" s="74">
        <f>K79</f>
        <v>0</v>
      </c>
      <c r="W66" s="74">
        <f>W79</f>
        <v>0</v>
      </c>
      <c r="X66" s="74">
        <f>X79</f>
        <v>0</v>
      </c>
    </row>
    <row r="67" spans="1:24" ht="11.25" customHeight="1" hidden="1">
      <c r="A67" s="25" t="s">
        <v>31</v>
      </c>
      <c r="B67" s="32"/>
      <c r="C67" s="32"/>
      <c r="D67" s="32"/>
      <c r="E67" s="32"/>
      <c r="F67" s="32" t="s">
        <v>53</v>
      </c>
      <c r="G67" s="74">
        <f t="shared" si="4"/>
        <v>0</v>
      </c>
      <c r="H67" s="74">
        <f>H83</f>
        <v>0</v>
      </c>
      <c r="I67" s="74">
        <f>I83</f>
        <v>0</v>
      </c>
      <c r="J67" s="74">
        <f>J83</f>
        <v>0</v>
      </c>
      <c r="K67" s="74">
        <f>K83</f>
        <v>0</v>
      </c>
      <c r="W67" s="74">
        <f>W83</f>
        <v>0</v>
      </c>
      <c r="X67" s="74">
        <f>X83</f>
        <v>0</v>
      </c>
    </row>
    <row r="68" spans="1:24" ht="15" customHeight="1">
      <c r="A68" s="25" t="s">
        <v>33</v>
      </c>
      <c r="B68" s="32"/>
      <c r="C68" s="32"/>
      <c r="D68" s="32"/>
      <c r="E68" s="32"/>
      <c r="F68" s="32" t="s">
        <v>55</v>
      </c>
      <c r="G68" s="74">
        <f t="shared" si="4"/>
        <v>10</v>
      </c>
      <c r="H68" s="74">
        <f>H69+H70</f>
        <v>1</v>
      </c>
      <c r="I68" s="74">
        <f>I69+I70</f>
        <v>3</v>
      </c>
      <c r="J68" s="74">
        <f>J69+J70</f>
        <v>3</v>
      </c>
      <c r="K68" s="74">
        <f>K69+K70</f>
        <v>3</v>
      </c>
      <c r="W68" s="74">
        <f>W69+W70</f>
        <v>10</v>
      </c>
      <c r="X68" s="74">
        <f>X69+X70</f>
        <v>10</v>
      </c>
    </row>
    <row r="69" spans="1:24" ht="12.75" customHeight="1" hidden="1">
      <c r="A69" s="25" t="s">
        <v>34</v>
      </c>
      <c r="B69" s="32"/>
      <c r="C69" s="32"/>
      <c r="D69" s="32"/>
      <c r="E69" s="32"/>
      <c r="F69" s="32" t="s">
        <v>56</v>
      </c>
      <c r="G69" s="74">
        <f t="shared" si="4"/>
        <v>0</v>
      </c>
      <c r="H69" s="74"/>
      <c r="I69" s="74"/>
      <c r="J69" s="74">
        <f>J85</f>
        <v>0</v>
      </c>
      <c r="K69" s="74">
        <f>K85</f>
        <v>0</v>
      </c>
      <c r="W69" s="74">
        <f>W85</f>
        <v>0</v>
      </c>
      <c r="X69" s="74">
        <f>X85</f>
        <v>0</v>
      </c>
    </row>
    <row r="70" spans="1:24" ht="15" customHeight="1">
      <c r="A70" s="25" t="s">
        <v>35</v>
      </c>
      <c r="B70" s="32"/>
      <c r="C70" s="32"/>
      <c r="D70" s="32"/>
      <c r="E70" s="32"/>
      <c r="F70" s="32" t="s">
        <v>57</v>
      </c>
      <c r="G70" s="74">
        <f t="shared" si="4"/>
        <v>10</v>
      </c>
      <c r="H70" s="74">
        <f>H73</f>
        <v>1</v>
      </c>
      <c r="I70" s="74">
        <f>I73</f>
        <v>3</v>
      </c>
      <c r="J70" s="74">
        <f>J73</f>
        <v>3</v>
      </c>
      <c r="K70" s="74">
        <f>K73</f>
        <v>3</v>
      </c>
      <c r="W70" s="74">
        <f>W73</f>
        <v>10</v>
      </c>
      <c r="X70" s="74">
        <f>X73</f>
        <v>10</v>
      </c>
    </row>
    <row r="71" spans="1:24" ht="12" customHeight="1">
      <c r="A71" s="25" t="s">
        <v>23</v>
      </c>
      <c r="B71" s="32"/>
      <c r="C71" s="32"/>
      <c r="D71" s="32"/>
      <c r="E71" s="32"/>
      <c r="F71" s="32"/>
      <c r="G71" s="74"/>
      <c r="H71" s="74"/>
      <c r="I71" s="74"/>
      <c r="J71" s="74"/>
      <c r="K71" s="74"/>
      <c r="W71" s="74"/>
      <c r="X71" s="74"/>
    </row>
    <row r="72" spans="1:24" ht="14.25" customHeight="1" hidden="1">
      <c r="A72" s="25" t="s">
        <v>36</v>
      </c>
      <c r="B72" s="32"/>
      <c r="C72" s="32"/>
      <c r="D72" s="32"/>
      <c r="E72" s="32"/>
      <c r="F72" s="32" t="s">
        <v>57</v>
      </c>
      <c r="G72" s="74">
        <f t="shared" si="4"/>
        <v>0</v>
      </c>
      <c r="H72" s="74"/>
      <c r="I72" s="74"/>
      <c r="J72" s="74"/>
      <c r="K72" s="74"/>
      <c r="W72" s="74"/>
      <c r="X72" s="74"/>
    </row>
    <row r="73" spans="1:24" ht="12" customHeight="1">
      <c r="A73" s="25" t="s">
        <v>37</v>
      </c>
      <c r="B73" s="32"/>
      <c r="C73" s="32"/>
      <c r="D73" s="32"/>
      <c r="E73" s="32"/>
      <c r="F73" s="32" t="s">
        <v>57</v>
      </c>
      <c r="G73" s="74">
        <f t="shared" si="4"/>
        <v>10</v>
      </c>
      <c r="H73" s="74">
        <f>H87</f>
        <v>1</v>
      </c>
      <c r="I73" s="74">
        <f>I87</f>
        <v>3</v>
      </c>
      <c r="J73" s="74">
        <f>J87</f>
        <v>3</v>
      </c>
      <c r="K73" s="74">
        <f>K87</f>
        <v>3</v>
      </c>
      <c r="W73" s="74">
        <f>W87</f>
        <v>10</v>
      </c>
      <c r="X73" s="74">
        <f>X87</f>
        <v>10</v>
      </c>
    </row>
    <row r="74" spans="1:24" ht="14.25" customHeight="1">
      <c r="A74" s="24" t="s">
        <v>96</v>
      </c>
      <c r="B74" s="31" t="s">
        <v>88</v>
      </c>
      <c r="C74" s="31" t="s">
        <v>60</v>
      </c>
      <c r="D74" s="31" t="s">
        <v>156</v>
      </c>
      <c r="E74" s="31" t="s">
        <v>144</v>
      </c>
      <c r="F74" s="31"/>
      <c r="G74" s="75">
        <f>H74+I74+J74+K74</f>
        <v>228.29999999999998</v>
      </c>
      <c r="H74" s="75">
        <f>H75+H79+H87</f>
        <v>44.5</v>
      </c>
      <c r="I74" s="75">
        <f>I75+I79+I87+I82</f>
        <v>57.599999999999994</v>
      </c>
      <c r="J74" s="75">
        <f>J75+J79+J87+J82</f>
        <v>57.599999999999994</v>
      </c>
      <c r="K74" s="75">
        <f>K75+K79+K87+K82</f>
        <v>68.6</v>
      </c>
      <c r="W74" s="75">
        <f>W75+W79+W87+W82</f>
        <v>228.29999999999998</v>
      </c>
      <c r="X74" s="75">
        <f>X75+X79+X87+X82</f>
        <v>228.29999999999998</v>
      </c>
    </row>
    <row r="75" spans="1:24" ht="14.25" customHeight="1">
      <c r="A75" s="25" t="s">
        <v>15</v>
      </c>
      <c r="B75" s="32" t="s">
        <v>88</v>
      </c>
      <c r="C75" s="32" t="s">
        <v>60</v>
      </c>
      <c r="D75" s="32" t="s">
        <v>156</v>
      </c>
      <c r="E75" s="32" t="s">
        <v>102</v>
      </c>
      <c r="F75" s="32" t="s">
        <v>41</v>
      </c>
      <c r="G75" s="74">
        <f>H75+I75+J75+K75</f>
        <v>218.29999999999998</v>
      </c>
      <c r="H75" s="74">
        <f>H76+H78+H77</f>
        <v>43.5</v>
      </c>
      <c r="I75" s="74">
        <f>SUM(I76:I78)</f>
        <v>54.599999999999994</v>
      </c>
      <c r="J75" s="74">
        <f>SUM(J76:J78)</f>
        <v>54.599999999999994</v>
      </c>
      <c r="K75" s="74">
        <f>SUM(K76:K78)</f>
        <v>65.6</v>
      </c>
      <c r="W75" s="74">
        <f>SUM(W76:W78)</f>
        <v>218.29999999999998</v>
      </c>
      <c r="X75" s="74">
        <f>SUM(X76:X78)</f>
        <v>218.29999999999998</v>
      </c>
    </row>
    <row r="76" spans="1:24" ht="13.5" customHeight="1">
      <c r="A76" s="26" t="s">
        <v>16</v>
      </c>
      <c r="B76" s="32" t="s">
        <v>88</v>
      </c>
      <c r="C76" s="32" t="s">
        <v>60</v>
      </c>
      <c r="D76" s="32" t="s">
        <v>156</v>
      </c>
      <c r="E76" s="32" t="s">
        <v>103</v>
      </c>
      <c r="F76" s="32" t="s">
        <v>42</v>
      </c>
      <c r="G76" s="74">
        <f>H76+I76+J76+K76</f>
        <v>167.70000000000002</v>
      </c>
      <c r="H76" s="74">
        <v>33.5</v>
      </c>
      <c r="I76" s="74">
        <v>41.9</v>
      </c>
      <c r="J76" s="74">
        <v>41.9</v>
      </c>
      <c r="K76" s="74">
        <v>50.4</v>
      </c>
      <c r="P76" s="18"/>
      <c r="W76" s="74">
        <v>167.7</v>
      </c>
      <c r="X76" s="74">
        <v>167.7</v>
      </c>
    </row>
    <row r="77" spans="1:24" ht="12" customHeight="1" hidden="1">
      <c r="A77" s="26" t="s">
        <v>17</v>
      </c>
      <c r="B77" s="32" t="s">
        <v>88</v>
      </c>
      <c r="C77" s="32" t="s">
        <v>60</v>
      </c>
      <c r="D77" s="32" t="s">
        <v>156</v>
      </c>
      <c r="E77" s="32" t="s">
        <v>108</v>
      </c>
      <c r="F77" s="32" t="s">
        <v>43</v>
      </c>
      <c r="G77" s="74">
        <f>SUM(H77:K77)</f>
        <v>0</v>
      </c>
      <c r="H77" s="74">
        <v>0</v>
      </c>
      <c r="I77" s="74">
        <v>0</v>
      </c>
      <c r="J77" s="74">
        <v>0</v>
      </c>
      <c r="K77" s="74">
        <v>0</v>
      </c>
      <c r="W77" s="74">
        <v>0</v>
      </c>
      <c r="X77" s="74">
        <v>0</v>
      </c>
    </row>
    <row r="78" spans="1:24" ht="15" customHeight="1">
      <c r="A78" s="26" t="s">
        <v>18</v>
      </c>
      <c r="B78" s="32" t="s">
        <v>88</v>
      </c>
      <c r="C78" s="32" t="s">
        <v>60</v>
      </c>
      <c r="D78" s="32" t="s">
        <v>156</v>
      </c>
      <c r="E78" s="32" t="s">
        <v>292</v>
      </c>
      <c r="F78" s="32" t="s">
        <v>44</v>
      </c>
      <c r="G78" s="74">
        <f>H78+I78+J78+K78</f>
        <v>50.599999999999994</v>
      </c>
      <c r="H78" s="74">
        <v>10</v>
      </c>
      <c r="I78" s="74">
        <v>12.7</v>
      </c>
      <c r="J78" s="74">
        <v>12.7</v>
      </c>
      <c r="K78" s="74">
        <v>15.2</v>
      </c>
      <c r="W78" s="74">
        <v>50.6</v>
      </c>
      <c r="X78" s="74">
        <v>50.6</v>
      </c>
    </row>
    <row r="79" spans="1:24" ht="10.5" customHeight="1" hidden="1">
      <c r="A79" s="26" t="s">
        <v>107</v>
      </c>
      <c r="B79" s="32" t="s">
        <v>88</v>
      </c>
      <c r="C79" s="32" t="s">
        <v>60</v>
      </c>
      <c r="D79" s="32" t="s">
        <v>156</v>
      </c>
      <c r="E79" s="32" t="s">
        <v>108</v>
      </c>
      <c r="F79" s="32" t="s">
        <v>54</v>
      </c>
      <c r="G79" s="74">
        <f aca="true" t="shared" si="7" ref="G79:G86">H79+I79+J79+K79</f>
        <v>0</v>
      </c>
      <c r="H79" s="74"/>
      <c r="I79" s="74"/>
      <c r="J79" s="74"/>
      <c r="K79" s="74"/>
      <c r="W79" s="74"/>
      <c r="X79" s="74"/>
    </row>
    <row r="80" spans="1:24" ht="15.75" customHeight="1" hidden="1">
      <c r="A80" s="24" t="s">
        <v>96</v>
      </c>
      <c r="B80" s="31" t="s">
        <v>88</v>
      </c>
      <c r="C80" s="31" t="s">
        <v>60</v>
      </c>
      <c r="D80" s="31" t="s">
        <v>158</v>
      </c>
      <c r="E80" s="31" t="s">
        <v>142</v>
      </c>
      <c r="F80" s="31"/>
      <c r="G80" s="75">
        <f t="shared" si="7"/>
        <v>0</v>
      </c>
      <c r="H80" s="75">
        <f>H84+H81+H83</f>
        <v>0</v>
      </c>
      <c r="I80" s="75">
        <f>I84+I81+I83</f>
        <v>0</v>
      </c>
      <c r="J80" s="75">
        <f>J84+J81+J83</f>
        <v>0</v>
      </c>
      <c r="K80" s="75">
        <f>K84+K81+K83</f>
        <v>0</v>
      </c>
      <c r="W80" s="75">
        <f>W84+W81+W83</f>
        <v>0</v>
      </c>
      <c r="X80" s="75">
        <f>X84+X81+X83</f>
        <v>0</v>
      </c>
    </row>
    <row r="81" spans="1:24" ht="19.5" customHeight="1" hidden="1">
      <c r="A81" s="26" t="s">
        <v>19</v>
      </c>
      <c r="B81" s="32" t="s">
        <v>88</v>
      </c>
      <c r="C81" s="32" t="s">
        <v>60</v>
      </c>
      <c r="D81" s="32" t="s">
        <v>158</v>
      </c>
      <c r="E81" s="32" t="s">
        <v>110</v>
      </c>
      <c r="F81" s="32" t="s">
        <v>47</v>
      </c>
      <c r="G81" s="74">
        <f t="shared" si="7"/>
        <v>0</v>
      </c>
      <c r="H81" s="74">
        <f>H82</f>
        <v>0</v>
      </c>
      <c r="I81" s="74">
        <f>I82</f>
        <v>0</v>
      </c>
      <c r="J81" s="74">
        <f>J82</f>
        <v>0</v>
      </c>
      <c r="K81" s="74">
        <f>K82</f>
        <v>0</v>
      </c>
      <c r="W81" s="74">
        <f>W82</f>
        <v>0</v>
      </c>
      <c r="X81" s="74">
        <f>X82</f>
        <v>0</v>
      </c>
    </row>
    <row r="82" spans="1:24" ht="12" customHeight="1" hidden="1">
      <c r="A82" s="26" t="s">
        <v>30</v>
      </c>
      <c r="B82" s="32" t="s">
        <v>88</v>
      </c>
      <c r="C82" s="32" t="s">
        <v>60</v>
      </c>
      <c r="D82" s="32" t="s">
        <v>158</v>
      </c>
      <c r="E82" s="32" t="s">
        <v>109</v>
      </c>
      <c r="F82" s="32" t="s">
        <v>52</v>
      </c>
      <c r="G82" s="74">
        <f t="shared" si="7"/>
        <v>0</v>
      </c>
      <c r="H82" s="74">
        <v>0</v>
      </c>
      <c r="I82" s="74"/>
      <c r="J82" s="74">
        <v>0</v>
      </c>
      <c r="K82" s="74"/>
      <c r="W82" s="74">
        <v>0</v>
      </c>
      <c r="X82" s="74"/>
    </row>
    <row r="83" spans="1:24" ht="15" customHeight="1" hidden="1">
      <c r="A83" s="26" t="s">
        <v>31</v>
      </c>
      <c r="B83" s="32" t="s">
        <v>88</v>
      </c>
      <c r="C83" s="32" t="s">
        <v>60</v>
      </c>
      <c r="D83" s="32" t="s">
        <v>158</v>
      </c>
      <c r="E83" s="32" t="s">
        <v>109</v>
      </c>
      <c r="F83" s="32" t="s">
        <v>53</v>
      </c>
      <c r="G83" s="74">
        <f t="shared" si="7"/>
        <v>0</v>
      </c>
      <c r="H83" s="74">
        <v>0</v>
      </c>
      <c r="I83" s="74">
        <v>0</v>
      </c>
      <c r="J83" s="74">
        <v>0</v>
      </c>
      <c r="K83" s="74">
        <v>0</v>
      </c>
      <c r="W83" s="74">
        <v>0</v>
      </c>
      <c r="X83" s="74">
        <v>0</v>
      </c>
    </row>
    <row r="84" spans="1:24" ht="15" customHeight="1" hidden="1">
      <c r="A84" s="25" t="s">
        <v>33</v>
      </c>
      <c r="B84" s="32" t="s">
        <v>88</v>
      </c>
      <c r="C84" s="32" t="s">
        <v>60</v>
      </c>
      <c r="D84" s="32" t="s">
        <v>158</v>
      </c>
      <c r="E84" s="32" t="s">
        <v>110</v>
      </c>
      <c r="F84" s="32" t="s">
        <v>55</v>
      </c>
      <c r="G84" s="74">
        <f t="shared" si="7"/>
        <v>0</v>
      </c>
      <c r="H84" s="74">
        <f>H85+H86</f>
        <v>0</v>
      </c>
      <c r="I84" s="74">
        <f>I85+I86</f>
        <v>0</v>
      </c>
      <c r="J84" s="74">
        <f>J85+J86</f>
        <v>0</v>
      </c>
      <c r="K84" s="74">
        <f>K85+K86</f>
        <v>0</v>
      </c>
      <c r="W84" s="74">
        <f>W85+W86</f>
        <v>0</v>
      </c>
      <c r="X84" s="74">
        <f>X85+X86</f>
        <v>0</v>
      </c>
    </row>
    <row r="85" spans="1:24" ht="15.75" customHeight="1" hidden="1">
      <c r="A85" s="25" t="s">
        <v>97</v>
      </c>
      <c r="B85" s="32" t="s">
        <v>88</v>
      </c>
      <c r="C85" s="32" t="s">
        <v>60</v>
      </c>
      <c r="D85" s="32" t="s">
        <v>158</v>
      </c>
      <c r="E85" s="32" t="s">
        <v>109</v>
      </c>
      <c r="F85" s="32" t="s">
        <v>56</v>
      </c>
      <c r="G85" s="74">
        <f t="shared" si="7"/>
        <v>0</v>
      </c>
      <c r="H85" s="74">
        <v>0</v>
      </c>
      <c r="I85" s="74">
        <v>0</v>
      </c>
      <c r="J85" s="74">
        <v>0</v>
      </c>
      <c r="K85" s="74">
        <v>0</v>
      </c>
      <c r="W85" s="74">
        <v>0</v>
      </c>
      <c r="X85" s="74">
        <v>0</v>
      </c>
    </row>
    <row r="86" spans="1:24" ht="14.25" customHeight="1" hidden="1">
      <c r="A86" s="25" t="s">
        <v>98</v>
      </c>
      <c r="B86" s="32" t="s">
        <v>88</v>
      </c>
      <c r="C86" s="32" t="s">
        <v>60</v>
      </c>
      <c r="D86" s="32" t="s">
        <v>158</v>
      </c>
      <c r="E86" s="32" t="s">
        <v>109</v>
      </c>
      <c r="F86" s="32" t="s">
        <v>57</v>
      </c>
      <c r="G86" s="74">
        <f t="shared" si="7"/>
        <v>0</v>
      </c>
      <c r="H86" s="74">
        <v>0</v>
      </c>
      <c r="I86" s="74">
        <v>0</v>
      </c>
      <c r="J86" s="74">
        <v>0</v>
      </c>
      <c r="K86" s="74">
        <v>0</v>
      </c>
      <c r="W86" s="74">
        <v>0</v>
      </c>
      <c r="X86" s="74">
        <v>0</v>
      </c>
    </row>
    <row r="87" spans="1:24" ht="14.25" customHeight="1">
      <c r="A87" s="25" t="s">
        <v>37</v>
      </c>
      <c r="B87" s="32" t="s">
        <v>88</v>
      </c>
      <c r="C87" s="32" t="s">
        <v>60</v>
      </c>
      <c r="D87" s="32" t="s">
        <v>158</v>
      </c>
      <c r="E87" s="32" t="s">
        <v>109</v>
      </c>
      <c r="F87" s="32" t="s">
        <v>57</v>
      </c>
      <c r="G87" s="74">
        <f>SUM(H87:K87)</f>
        <v>10</v>
      </c>
      <c r="H87" s="74">
        <v>1</v>
      </c>
      <c r="I87" s="74">
        <v>3</v>
      </c>
      <c r="J87" s="74">
        <v>3</v>
      </c>
      <c r="K87" s="74">
        <v>3</v>
      </c>
      <c r="P87" s="27"/>
      <c r="Q87" s="27"/>
      <c r="W87" s="74">
        <v>10</v>
      </c>
      <c r="X87" s="74">
        <v>10</v>
      </c>
    </row>
    <row r="88" spans="1:24" ht="15.75" customHeight="1">
      <c r="A88" s="30" t="s">
        <v>61</v>
      </c>
      <c r="B88" s="31" t="s">
        <v>88</v>
      </c>
      <c r="C88" s="31" t="s">
        <v>99</v>
      </c>
      <c r="D88" s="31" t="s">
        <v>159</v>
      </c>
      <c r="E88" s="31" t="s">
        <v>145</v>
      </c>
      <c r="F88" s="31"/>
      <c r="G88" s="75">
        <f>G89</f>
        <v>250</v>
      </c>
      <c r="H88" s="75">
        <f>H89</f>
        <v>0</v>
      </c>
      <c r="I88" s="75">
        <f>I89</f>
        <v>0</v>
      </c>
      <c r="J88" s="75">
        <f>J89</f>
        <v>0</v>
      </c>
      <c r="K88" s="75">
        <f>K89</f>
        <v>250</v>
      </c>
      <c r="W88" s="75">
        <f>W89</f>
        <v>250</v>
      </c>
      <c r="X88" s="75">
        <f>X89</f>
        <v>250</v>
      </c>
    </row>
    <row r="89" spans="1:24" ht="12.75" customHeight="1">
      <c r="A89" s="26" t="s">
        <v>31</v>
      </c>
      <c r="B89" s="32" t="s">
        <v>88</v>
      </c>
      <c r="C89" s="32" t="s">
        <v>99</v>
      </c>
      <c r="D89" s="32" t="s">
        <v>159</v>
      </c>
      <c r="E89" s="32" t="s">
        <v>112</v>
      </c>
      <c r="F89" s="32" t="s">
        <v>53</v>
      </c>
      <c r="G89" s="74">
        <f aca="true" t="shared" si="8" ref="G89:G95">H89+I89+J89+K89</f>
        <v>250</v>
      </c>
      <c r="H89" s="74">
        <v>0</v>
      </c>
      <c r="I89" s="74">
        <v>0</v>
      </c>
      <c r="J89" s="74">
        <v>0</v>
      </c>
      <c r="K89" s="74">
        <v>250</v>
      </c>
      <c r="O89" s="18"/>
      <c r="P89" s="18"/>
      <c r="Q89" s="18"/>
      <c r="W89" s="74">
        <v>250</v>
      </c>
      <c r="X89" s="74">
        <v>250</v>
      </c>
    </row>
    <row r="90" spans="1:24" ht="54.75" customHeight="1">
      <c r="A90" s="30" t="s">
        <v>462</v>
      </c>
      <c r="B90" s="31" t="s">
        <v>88</v>
      </c>
      <c r="C90" s="31" t="s">
        <v>138</v>
      </c>
      <c r="D90" s="31" t="s">
        <v>160</v>
      </c>
      <c r="E90" s="31" t="s">
        <v>142</v>
      </c>
      <c r="F90" s="31"/>
      <c r="G90" s="75">
        <f t="shared" si="8"/>
        <v>100</v>
      </c>
      <c r="H90" s="75">
        <f aca="true" t="shared" si="9" ref="H90:K91">H91</f>
        <v>50</v>
      </c>
      <c r="I90" s="75">
        <f t="shared" si="9"/>
        <v>50</v>
      </c>
      <c r="J90" s="75">
        <f t="shared" si="9"/>
        <v>0</v>
      </c>
      <c r="K90" s="75">
        <f t="shared" si="9"/>
        <v>0</v>
      </c>
      <c r="S90" s="70"/>
      <c r="W90" s="75">
        <f>W91</f>
        <v>100</v>
      </c>
      <c r="X90" s="75">
        <f>X91</f>
        <v>100</v>
      </c>
    </row>
    <row r="91" spans="1:24" ht="37.5" customHeight="1">
      <c r="A91" s="33" t="s">
        <v>161</v>
      </c>
      <c r="B91" s="34" t="s">
        <v>88</v>
      </c>
      <c r="C91" s="34" t="s">
        <v>138</v>
      </c>
      <c r="D91" s="34" t="s">
        <v>162</v>
      </c>
      <c r="E91" s="34" t="s">
        <v>110</v>
      </c>
      <c r="F91" s="34" t="s">
        <v>47</v>
      </c>
      <c r="G91" s="71">
        <f t="shared" si="8"/>
        <v>100</v>
      </c>
      <c r="H91" s="71">
        <f t="shared" si="9"/>
        <v>50</v>
      </c>
      <c r="I91" s="71">
        <f t="shared" si="9"/>
        <v>50</v>
      </c>
      <c r="J91" s="71">
        <f t="shared" si="9"/>
        <v>0</v>
      </c>
      <c r="K91" s="71">
        <f t="shared" si="9"/>
        <v>0</v>
      </c>
      <c r="W91" s="71">
        <f>W92</f>
        <v>100</v>
      </c>
      <c r="X91" s="71">
        <f>X92</f>
        <v>100</v>
      </c>
    </row>
    <row r="92" spans="1:24" ht="12.75" customHeight="1">
      <c r="A92" s="25" t="s">
        <v>30</v>
      </c>
      <c r="B92" s="32" t="s">
        <v>88</v>
      </c>
      <c r="C92" s="32" t="s">
        <v>138</v>
      </c>
      <c r="D92" s="32" t="s">
        <v>162</v>
      </c>
      <c r="E92" s="32" t="s">
        <v>109</v>
      </c>
      <c r="F92" s="32" t="s">
        <v>52</v>
      </c>
      <c r="G92" s="74">
        <f t="shared" si="8"/>
        <v>100</v>
      </c>
      <c r="H92" s="74">
        <v>50</v>
      </c>
      <c r="I92" s="74">
        <v>50</v>
      </c>
      <c r="J92" s="74">
        <v>0</v>
      </c>
      <c r="K92" s="74">
        <v>0</v>
      </c>
      <c r="W92" s="74">
        <v>100</v>
      </c>
      <c r="X92" s="74">
        <v>100</v>
      </c>
    </row>
    <row r="93" spans="1:24" ht="53.25" customHeight="1">
      <c r="A93" s="68" t="s">
        <v>461</v>
      </c>
      <c r="B93" s="31" t="s">
        <v>88</v>
      </c>
      <c r="C93" s="31" t="s">
        <v>138</v>
      </c>
      <c r="D93" s="31" t="s">
        <v>164</v>
      </c>
      <c r="E93" s="31" t="s">
        <v>142</v>
      </c>
      <c r="F93" s="31"/>
      <c r="G93" s="75">
        <f t="shared" si="8"/>
        <v>450</v>
      </c>
      <c r="H93" s="75">
        <f>H94+H96</f>
        <v>100</v>
      </c>
      <c r="I93" s="75">
        <f>I94+I96</f>
        <v>125</v>
      </c>
      <c r="J93" s="75">
        <f>J94+J96</f>
        <v>125</v>
      </c>
      <c r="K93" s="75">
        <f>K94+K96</f>
        <v>100</v>
      </c>
      <c r="W93" s="75">
        <f>W94+W96</f>
        <v>370</v>
      </c>
      <c r="X93" s="75">
        <f>X94+X96</f>
        <v>200</v>
      </c>
    </row>
    <row r="94" spans="1:24" ht="24.75" customHeight="1">
      <c r="A94" s="35" t="s">
        <v>163</v>
      </c>
      <c r="B94" s="34" t="s">
        <v>88</v>
      </c>
      <c r="C94" s="34" t="s">
        <v>138</v>
      </c>
      <c r="D94" s="34" t="s">
        <v>165</v>
      </c>
      <c r="E94" s="34" t="s">
        <v>110</v>
      </c>
      <c r="F94" s="34" t="s">
        <v>47</v>
      </c>
      <c r="G94" s="71">
        <f t="shared" si="8"/>
        <v>200</v>
      </c>
      <c r="H94" s="71">
        <f aca="true" t="shared" si="10" ref="H94:K96">H95</f>
        <v>50</v>
      </c>
      <c r="I94" s="71">
        <f t="shared" si="10"/>
        <v>50</v>
      </c>
      <c r="J94" s="71">
        <f t="shared" si="10"/>
        <v>50</v>
      </c>
      <c r="K94" s="71">
        <f t="shared" si="10"/>
        <v>50</v>
      </c>
      <c r="W94" s="71">
        <f aca="true" t="shared" si="11" ref="W94:X96">W95</f>
        <v>170</v>
      </c>
      <c r="X94" s="71">
        <f t="shared" si="11"/>
        <v>100</v>
      </c>
    </row>
    <row r="95" spans="1:24" ht="11.25" customHeight="1">
      <c r="A95" s="25" t="s">
        <v>30</v>
      </c>
      <c r="B95" s="32" t="s">
        <v>88</v>
      </c>
      <c r="C95" s="32" t="s">
        <v>138</v>
      </c>
      <c r="D95" s="32" t="s">
        <v>165</v>
      </c>
      <c r="E95" s="32" t="s">
        <v>109</v>
      </c>
      <c r="F95" s="32" t="s">
        <v>52</v>
      </c>
      <c r="G95" s="74">
        <f t="shared" si="8"/>
        <v>200</v>
      </c>
      <c r="H95" s="74">
        <v>50</v>
      </c>
      <c r="I95" s="74">
        <v>50</v>
      </c>
      <c r="J95" s="74">
        <v>50</v>
      </c>
      <c r="K95" s="74">
        <v>50</v>
      </c>
      <c r="W95" s="74">
        <v>170</v>
      </c>
      <c r="X95" s="74">
        <v>100</v>
      </c>
    </row>
    <row r="96" spans="1:24" ht="24.75" customHeight="1">
      <c r="A96" s="35" t="s">
        <v>167</v>
      </c>
      <c r="B96" s="34" t="s">
        <v>88</v>
      </c>
      <c r="C96" s="34" t="s">
        <v>138</v>
      </c>
      <c r="D96" s="34" t="s">
        <v>166</v>
      </c>
      <c r="E96" s="34" t="s">
        <v>110</v>
      </c>
      <c r="F96" s="34" t="s">
        <v>47</v>
      </c>
      <c r="G96" s="71">
        <f>H96+I96+J96+K96</f>
        <v>250</v>
      </c>
      <c r="H96" s="71">
        <f t="shared" si="10"/>
        <v>50</v>
      </c>
      <c r="I96" s="71">
        <f t="shared" si="10"/>
        <v>75</v>
      </c>
      <c r="J96" s="71">
        <f t="shared" si="10"/>
        <v>75</v>
      </c>
      <c r="K96" s="71">
        <f t="shared" si="10"/>
        <v>50</v>
      </c>
      <c r="W96" s="71">
        <f t="shared" si="11"/>
        <v>200</v>
      </c>
      <c r="X96" s="71">
        <f t="shared" si="11"/>
        <v>100</v>
      </c>
    </row>
    <row r="97" spans="1:24" ht="11.25" customHeight="1">
      <c r="A97" s="25" t="s">
        <v>30</v>
      </c>
      <c r="B97" s="32" t="s">
        <v>88</v>
      </c>
      <c r="C97" s="32" t="s">
        <v>138</v>
      </c>
      <c r="D97" s="32" t="s">
        <v>166</v>
      </c>
      <c r="E97" s="32" t="s">
        <v>109</v>
      </c>
      <c r="F97" s="32" t="s">
        <v>52</v>
      </c>
      <c r="G97" s="74">
        <f>H97+I97+J97+K97</f>
        <v>250</v>
      </c>
      <c r="H97" s="74">
        <v>50</v>
      </c>
      <c r="I97" s="74">
        <v>75</v>
      </c>
      <c r="J97" s="74">
        <v>75</v>
      </c>
      <c r="K97" s="74">
        <v>50</v>
      </c>
      <c r="W97" s="74">
        <v>200</v>
      </c>
      <c r="X97" s="74">
        <v>100</v>
      </c>
    </row>
    <row r="98" spans="1:24" ht="94.5" customHeight="1">
      <c r="A98" s="30" t="s">
        <v>460</v>
      </c>
      <c r="B98" s="31" t="s">
        <v>88</v>
      </c>
      <c r="C98" s="31" t="s">
        <v>138</v>
      </c>
      <c r="D98" s="31" t="s">
        <v>199</v>
      </c>
      <c r="E98" s="31" t="s">
        <v>66</v>
      </c>
      <c r="F98" s="32"/>
      <c r="G98" s="75">
        <f>H98+I98+J98+K98</f>
        <v>12732.32</v>
      </c>
      <c r="H98" s="75">
        <f>H99+H103+H116+H118+H122+H124+H126+H128+H130</f>
        <v>2666.1200000000003</v>
      </c>
      <c r="I98" s="75">
        <f>I99+I103+I116+I118+I122+I124+I126+I128+I130</f>
        <v>3072.82</v>
      </c>
      <c r="J98" s="75">
        <f>J99+J103+J116+J118+J122+J124+J126+J128+J130</f>
        <v>3190.43</v>
      </c>
      <c r="K98" s="75">
        <f>K99+K103+K116+K118+K122+K124+K126+K128+K130</f>
        <v>3802.95</v>
      </c>
      <c r="W98" s="75">
        <f>W99+W103+W116+W118+W122+W124+W126+W128+W130</f>
        <v>12758.42</v>
      </c>
      <c r="X98" s="75">
        <f>X99+X103+X116+X118+X122+X124+X126+X128+X130</f>
        <v>12791.619999999999</v>
      </c>
    </row>
    <row r="99" spans="1:24" ht="36.75" customHeight="1">
      <c r="A99" s="35" t="s">
        <v>256</v>
      </c>
      <c r="B99" s="34" t="s">
        <v>88</v>
      </c>
      <c r="C99" s="34" t="s">
        <v>138</v>
      </c>
      <c r="D99" s="34" t="s">
        <v>201</v>
      </c>
      <c r="E99" s="34" t="s">
        <v>113</v>
      </c>
      <c r="F99" s="34" t="s">
        <v>41</v>
      </c>
      <c r="G99" s="71">
        <f>H99+I99+J99+K99</f>
        <v>9098.02</v>
      </c>
      <c r="H99" s="71">
        <f>H100+H102</f>
        <v>1819.8200000000002</v>
      </c>
      <c r="I99" s="71">
        <f>I100+I102</f>
        <v>2274.6</v>
      </c>
      <c r="J99" s="71">
        <f>J100+J102</f>
        <v>2274.6</v>
      </c>
      <c r="K99" s="71">
        <f>K100+K102+K101</f>
        <v>2729</v>
      </c>
      <c r="S99" s="80"/>
      <c r="W99" s="71">
        <f>W100+W102</f>
        <v>9098.02</v>
      </c>
      <c r="X99" s="71">
        <f>X100+X102+X101</f>
        <v>9098.02</v>
      </c>
    </row>
    <row r="100" spans="1:24" ht="11.25" customHeight="1">
      <c r="A100" s="26" t="s">
        <v>16</v>
      </c>
      <c r="B100" s="32" t="s">
        <v>88</v>
      </c>
      <c r="C100" s="32" t="s">
        <v>138</v>
      </c>
      <c r="D100" s="32" t="s">
        <v>201</v>
      </c>
      <c r="E100" s="32" t="s">
        <v>114</v>
      </c>
      <c r="F100" s="32" t="s">
        <v>42</v>
      </c>
      <c r="G100" s="74">
        <f>H100+I100+J100+K100</f>
        <v>6987.72</v>
      </c>
      <c r="H100" s="74">
        <v>1397.72</v>
      </c>
      <c r="I100" s="74">
        <v>1747</v>
      </c>
      <c r="J100" s="74">
        <v>1747</v>
      </c>
      <c r="K100" s="74">
        <v>2096</v>
      </c>
      <c r="S100" s="17"/>
      <c r="W100" s="74">
        <v>6987.73</v>
      </c>
      <c r="X100" s="74">
        <v>6987.73</v>
      </c>
    </row>
    <row r="101" spans="1:24" ht="11.25" customHeight="1" hidden="1">
      <c r="A101" s="26" t="s">
        <v>17</v>
      </c>
      <c r="B101" s="32" t="s">
        <v>88</v>
      </c>
      <c r="C101" s="32" t="s">
        <v>138</v>
      </c>
      <c r="D101" s="32" t="s">
        <v>201</v>
      </c>
      <c r="E101" s="32" t="s">
        <v>119</v>
      </c>
      <c r="F101" s="32" t="s">
        <v>43</v>
      </c>
      <c r="G101" s="74">
        <f>K101</f>
        <v>0</v>
      </c>
      <c r="H101" s="74"/>
      <c r="I101" s="74"/>
      <c r="J101" s="74"/>
      <c r="K101" s="74"/>
      <c r="S101" s="17"/>
      <c r="W101" s="74"/>
      <c r="X101" s="74"/>
    </row>
    <row r="102" spans="1:24" ht="11.25" customHeight="1">
      <c r="A102" s="26" t="s">
        <v>18</v>
      </c>
      <c r="B102" s="32" t="s">
        <v>88</v>
      </c>
      <c r="C102" s="32" t="s">
        <v>138</v>
      </c>
      <c r="D102" s="32" t="s">
        <v>201</v>
      </c>
      <c r="E102" s="32" t="s">
        <v>293</v>
      </c>
      <c r="F102" s="32" t="s">
        <v>44</v>
      </c>
      <c r="G102" s="74">
        <f>H102+I102+J102+K102</f>
        <v>2110.3</v>
      </c>
      <c r="H102" s="74">
        <v>422.1</v>
      </c>
      <c r="I102" s="74">
        <v>527.6</v>
      </c>
      <c r="J102" s="74">
        <v>527.6</v>
      </c>
      <c r="K102" s="74">
        <v>633</v>
      </c>
      <c r="S102" s="17"/>
      <c r="W102" s="74">
        <v>2110.29</v>
      </c>
      <c r="X102" s="74">
        <v>2110.29</v>
      </c>
    </row>
    <row r="103" spans="1:24" ht="24" customHeight="1">
      <c r="A103" s="35" t="s">
        <v>202</v>
      </c>
      <c r="B103" s="34" t="s">
        <v>88</v>
      </c>
      <c r="C103" s="34" t="s">
        <v>138</v>
      </c>
      <c r="D103" s="34" t="s">
        <v>203</v>
      </c>
      <c r="E103" s="34" t="s">
        <v>142</v>
      </c>
      <c r="F103" s="34"/>
      <c r="G103" s="71">
        <f>H103+I103+J103+K103</f>
        <v>1316</v>
      </c>
      <c r="H103" s="71">
        <f>H104+H106+H111</f>
        <v>279.3</v>
      </c>
      <c r="I103" s="71">
        <f>I104+I106+I113</f>
        <v>329.4</v>
      </c>
      <c r="J103" s="71">
        <f>J104+J106+J113</f>
        <v>223.39999999999998</v>
      </c>
      <c r="K103" s="71">
        <f>K104+K106+K113</f>
        <v>483.90000000000003</v>
      </c>
      <c r="W103" s="71">
        <f>W104+W106+W113</f>
        <v>1348.1000000000001</v>
      </c>
      <c r="X103" s="71">
        <f>X104+X106+X113</f>
        <v>1381.3</v>
      </c>
    </row>
    <row r="104" spans="1:24" ht="11.25" customHeight="1">
      <c r="A104" s="26" t="s">
        <v>20</v>
      </c>
      <c r="B104" s="32" t="s">
        <v>88</v>
      </c>
      <c r="C104" s="32" t="s">
        <v>138</v>
      </c>
      <c r="D104" s="32" t="s">
        <v>203</v>
      </c>
      <c r="E104" s="32" t="s">
        <v>109</v>
      </c>
      <c r="F104" s="32" t="s">
        <v>48</v>
      </c>
      <c r="G104" s="74">
        <f>H104+I104+J104+K104</f>
        <v>324.4</v>
      </c>
      <c r="H104" s="74">
        <v>65</v>
      </c>
      <c r="I104" s="74">
        <v>81</v>
      </c>
      <c r="J104" s="74">
        <v>81</v>
      </c>
      <c r="K104" s="74">
        <v>97.4</v>
      </c>
      <c r="W104" s="74">
        <v>337.4</v>
      </c>
      <c r="X104" s="74">
        <v>350.8</v>
      </c>
    </row>
    <row r="105" spans="1:24" ht="11.25" customHeight="1">
      <c r="A105" s="26" t="s">
        <v>21</v>
      </c>
      <c r="B105" s="32" t="s">
        <v>88</v>
      </c>
      <c r="C105" s="32" t="s">
        <v>138</v>
      </c>
      <c r="D105" s="32" t="s">
        <v>203</v>
      </c>
      <c r="E105" s="32" t="s">
        <v>109</v>
      </c>
      <c r="F105" s="32" t="s">
        <v>49</v>
      </c>
      <c r="G105" s="74">
        <f>I105+J105+K105+H105</f>
        <v>0</v>
      </c>
      <c r="H105" s="74">
        <v>0</v>
      </c>
      <c r="I105" s="74">
        <v>0</v>
      </c>
      <c r="J105" s="74">
        <v>0</v>
      </c>
      <c r="K105" s="74">
        <v>0</v>
      </c>
      <c r="W105" s="74">
        <v>0</v>
      </c>
      <c r="X105" s="74">
        <v>0</v>
      </c>
    </row>
    <row r="106" spans="1:24" ht="11.25" customHeight="1">
      <c r="A106" s="26" t="s">
        <v>22</v>
      </c>
      <c r="B106" s="32" t="s">
        <v>88</v>
      </c>
      <c r="C106" s="32" t="s">
        <v>138</v>
      </c>
      <c r="D106" s="32" t="s">
        <v>203</v>
      </c>
      <c r="E106" s="32" t="s">
        <v>109</v>
      </c>
      <c r="F106" s="32" t="s">
        <v>50</v>
      </c>
      <c r="G106" s="74">
        <f>H106+I106+J106+K106</f>
        <v>674.8</v>
      </c>
      <c r="H106" s="74">
        <f>H108+H109+H110</f>
        <v>135.1</v>
      </c>
      <c r="I106" s="74">
        <f>I108+I109+I110</f>
        <v>169.2</v>
      </c>
      <c r="J106" s="74">
        <f>J108+J109+J110</f>
        <v>63.2</v>
      </c>
      <c r="K106" s="74">
        <f>K108+K109+K110</f>
        <v>307.3</v>
      </c>
      <c r="W106" s="74">
        <f>W108+W109+W110</f>
        <v>693.9000000000001</v>
      </c>
      <c r="X106" s="74">
        <f>X108+X109+X110</f>
        <v>713.7</v>
      </c>
    </row>
    <row r="107" spans="1:24" ht="11.25" customHeight="1">
      <c r="A107" s="26" t="s">
        <v>23</v>
      </c>
      <c r="B107" s="32" t="s">
        <v>88</v>
      </c>
      <c r="C107" s="32" t="s">
        <v>138</v>
      </c>
      <c r="D107" s="32" t="s">
        <v>203</v>
      </c>
      <c r="E107" s="32" t="s">
        <v>109</v>
      </c>
      <c r="F107" s="32"/>
      <c r="G107" s="74"/>
      <c r="H107" s="74"/>
      <c r="I107" s="74"/>
      <c r="J107" s="74"/>
      <c r="K107" s="74"/>
      <c r="W107" s="74"/>
      <c r="X107" s="74"/>
    </row>
    <row r="108" spans="1:24" ht="11.25" customHeight="1">
      <c r="A108" s="26" t="s">
        <v>24</v>
      </c>
      <c r="B108" s="32" t="s">
        <v>88</v>
      </c>
      <c r="C108" s="32" t="s">
        <v>138</v>
      </c>
      <c r="D108" s="32" t="s">
        <v>203</v>
      </c>
      <c r="E108" s="32" t="s">
        <v>109</v>
      </c>
      <c r="F108" s="32" t="s">
        <v>50</v>
      </c>
      <c r="G108" s="74">
        <f>H108+J108+I108+K108</f>
        <v>422.1</v>
      </c>
      <c r="H108" s="74">
        <v>84.4</v>
      </c>
      <c r="I108" s="74">
        <v>106</v>
      </c>
      <c r="J108" s="74">
        <v>0</v>
      </c>
      <c r="K108" s="74">
        <v>231.7</v>
      </c>
      <c r="W108" s="74">
        <v>439</v>
      </c>
      <c r="X108" s="74">
        <v>456.6</v>
      </c>
    </row>
    <row r="109" spans="1:24" ht="11.25" customHeight="1">
      <c r="A109" s="26" t="s">
        <v>25</v>
      </c>
      <c r="B109" s="32" t="s">
        <v>88</v>
      </c>
      <c r="C109" s="32" t="s">
        <v>138</v>
      </c>
      <c r="D109" s="32" t="s">
        <v>203</v>
      </c>
      <c r="E109" s="32" t="s">
        <v>109</v>
      </c>
      <c r="F109" s="32" t="s">
        <v>50</v>
      </c>
      <c r="G109" s="74">
        <f>H109+I109+J109+K109</f>
        <v>248</v>
      </c>
      <c r="H109" s="74">
        <v>49.6</v>
      </c>
      <c r="I109" s="74">
        <v>62</v>
      </c>
      <c r="J109" s="74">
        <v>62</v>
      </c>
      <c r="K109" s="74">
        <v>74.4</v>
      </c>
      <c r="W109" s="74">
        <v>250.2</v>
      </c>
      <c r="X109" s="74">
        <v>252.4</v>
      </c>
    </row>
    <row r="110" spans="1:24" ht="11.25" customHeight="1">
      <c r="A110" s="26" t="s">
        <v>26</v>
      </c>
      <c r="B110" s="32" t="s">
        <v>88</v>
      </c>
      <c r="C110" s="32" t="s">
        <v>138</v>
      </c>
      <c r="D110" s="32" t="s">
        <v>203</v>
      </c>
      <c r="E110" s="32" t="s">
        <v>109</v>
      </c>
      <c r="F110" s="32" t="s">
        <v>50</v>
      </c>
      <c r="G110" s="74">
        <f>H110+I110+J110+K110</f>
        <v>4.7</v>
      </c>
      <c r="H110" s="74">
        <v>1.1</v>
      </c>
      <c r="I110" s="74">
        <v>1.2</v>
      </c>
      <c r="J110" s="74">
        <v>1.2</v>
      </c>
      <c r="K110" s="74">
        <v>1.2</v>
      </c>
      <c r="W110" s="74">
        <v>4.7</v>
      </c>
      <c r="X110" s="74">
        <v>4.7</v>
      </c>
    </row>
    <row r="111" spans="1:24" ht="11.25" customHeight="1">
      <c r="A111" s="26" t="s">
        <v>27</v>
      </c>
      <c r="B111" s="32" t="s">
        <v>88</v>
      </c>
      <c r="C111" s="32" t="s">
        <v>138</v>
      </c>
      <c r="D111" s="32" t="s">
        <v>203</v>
      </c>
      <c r="E111" s="32" t="s">
        <v>109</v>
      </c>
      <c r="F111" s="32" t="s">
        <v>51</v>
      </c>
      <c r="G111" s="74">
        <f>H111+I111+J111+K111</f>
        <v>316.8</v>
      </c>
      <c r="H111" s="74">
        <f>H113</f>
        <v>79.2</v>
      </c>
      <c r="I111" s="74">
        <f>I113</f>
        <v>79.2</v>
      </c>
      <c r="J111" s="74">
        <f>J113</f>
        <v>79.2</v>
      </c>
      <c r="K111" s="74">
        <f>K113</f>
        <v>79.2</v>
      </c>
      <c r="W111" s="74">
        <f>W113</f>
        <v>316.8</v>
      </c>
      <c r="X111" s="74">
        <f>X113</f>
        <v>316.8</v>
      </c>
    </row>
    <row r="112" spans="1:24" ht="11.25" customHeight="1">
      <c r="A112" s="26" t="s">
        <v>23</v>
      </c>
      <c r="B112" s="32" t="s">
        <v>88</v>
      </c>
      <c r="C112" s="32" t="s">
        <v>138</v>
      </c>
      <c r="D112" s="32" t="s">
        <v>203</v>
      </c>
      <c r="E112" s="32" t="s">
        <v>109</v>
      </c>
      <c r="F112" s="32"/>
      <c r="G112" s="74"/>
      <c r="H112" s="74"/>
      <c r="I112" s="74"/>
      <c r="J112" s="74"/>
      <c r="K112" s="74"/>
      <c r="Q112" s="27"/>
      <c r="W112" s="74"/>
      <c r="X112" s="74"/>
    </row>
    <row r="113" spans="1:24" ht="11.25" customHeight="1">
      <c r="A113" s="26" t="s">
        <v>28</v>
      </c>
      <c r="B113" s="32" t="s">
        <v>88</v>
      </c>
      <c r="C113" s="32" t="s">
        <v>138</v>
      </c>
      <c r="D113" s="32" t="s">
        <v>203</v>
      </c>
      <c r="E113" s="32" t="s">
        <v>109</v>
      </c>
      <c r="F113" s="32" t="s">
        <v>51</v>
      </c>
      <c r="G113" s="74">
        <f>H113+I113+J113+K113</f>
        <v>316.8</v>
      </c>
      <c r="H113" s="74">
        <v>79.2</v>
      </c>
      <c r="I113" s="74">
        <v>79.2</v>
      </c>
      <c r="J113" s="74">
        <v>79.2</v>
      </c>
      <c r="K113" s="74">
        <v>79.2</v>
      </c>
      <c r="W113" s="74">
        <v>316.8</v>
      </c>
      <c r="X113" s="74">
        <v>316.8</v>
      </c>
    </row>
    <row r="114" spans="1:24" ht="11.25" customHeight="1" hidden="1">
      <c r="A114" s="26" t="s">
        <v>29</v>
      </c>
      <c r="B114" s="32" t="s">
        <v>88</v>
      </c>
      <c r="C114" s="32" t="s">
        <v>138</v>
      </c>
      <c r="D114" s="32" t="s">
        <v>203</v>
      </c>
      <c r="E114" s="32" t="s">
        <v>109</v>
      </c>
      <c r="F114" s="32" t="s">
        <v>51</v>
      </c>
      <c r="G114" s="74">
        <f>J114+K114</f>
        <v>0</v>
      </c>
      <c r="H114" s="74"/>
      <c r="I114" s="74"/>
      <c r="J114" s="74"/>
      <c r="K114" s="74"/>
      <c r="P114" s="18"/>
      <c r="Q114" s="18"/>
      <c r="W114" s="74"/>
      <c r="X114" s="74"/>
    </row>
    <row r="115" spans="1:24" ht="11.25" customHeight="1" hidden="1">
      <c r="A115" s="26" t="s">
        <v>100</v>
      </c>
      <c r="B115" s="32" t="s">
        <v>88</v>
      </c>
      <c r="C115" s="32" t="s">
        <v>138</v>
      </c>
      <c r="D115" s="32" t="s">
        <v>203</v>
      </c>
      <c r="E115" s="32" t="s">
        <v>109</v>
      </c>
      <c r="F115" s="32" t="s">
        <v>51</v>
      </c>
      <c r="G115" s="74">
        <f aca="true" t="shared" si="12" ref="G115:G122">H115+I115+J115+K115</f>
        <v>0</v>
      </c>
      <c r="H115" s="74"/>
      <c r="I115" s="74"/>
      <c r="J115" s="74"/>
      <c r="K115" s="74"/>
      <c r="W115" s="74"/>
      <c r="X115" s="74"/>
    </row>
    <row r="116" spans="1:24" ht="24.75" customHeight="1">
      <c r="A116" s="35" t="s">
        <v>213</v>
      </c>
      <c r="B116" s="34" t="s">
        <v>88</v>
      </c>
      <c r="C116" s="34" t="s">
        <v>138</v>
      </c>
      <c r="D116" s="34" t="s">
        <v>204</v>
      </c>
      <c r="E116" s="34" t="s">
        <v>142</v>
      </c>
      <c r="F116" s="34"/>
      <c r="G116" s="71">
        <f t="shared" si="12"/>
        <v>810.1</v>
      </c>
      <c r="H116" s="71">
        <f>H117</f>
        <v>201.1</v>
      </c>
      <c r="I116" s="71">
        <f>I117</f>
        <v>203</v>
      </c>
      <c r="J116" s="71">
        <f>J117</f>
        <v>203</v>
      </c>
      <c r="K116" s="71">
        <f>K117</f>
        <v>203</v>
      </c>
      <c r="W116" s="71">
        <f>W117</f>
        <v>810.1</v>
      </c>
      <c r="X116" s="71">
        <f>X117</f>
        <v>810.1</v>
      </c>
    </row>
    <row r="117" spans="1:24" ht="11.25" customHeight="1">
      <c r="A117" s="26" t="s">
        <v>30</v>
      </c>
      <c r="B117" s="32" t="s">
        <v>88</v>
      </c>
      <c r="C117" s="32" t="s">
        <v>138</v>
      </c>
      <c r="D117" s="32" t="s">
        <v>204</v>
      </c>
      <c r="E117" s="32" t="s">
        <v>109</v>
      </c>
      <c r="F117" s="32" t="s">
        <v>52</v>
      </c>
      <c r="G117" s="74">
        <f t="shared" si="12"/>
        <v>810.1</v>
      </c>
      <c r="H117" s="74">
        <v>201.1</v>
      </c>
      <c r="I117" s="74">
        <v>203</v>
      </c>
      <c r="J117" s="74">
        <v>203</v>
      </c>
      <c r="K117" s="74">
        <v>203</v>
      </c>
      <c r="W117" s="74">
        <v>810.1</v>
      </c>
      <c r="X117" s="74">
        <v>810.1</v>
      </c>
    </row>
    <row r="118" spans="1:24" ht="13.5" customHeight="1">
      <c r="A118" s="35" t="s">
        <v>205</v>
      </c>
      <c r="B118" s="34" t="s">
        <v>88</v>
      </c>
      <c r="C118" s="34" t="s">
        <v>138</v>
      </c>
      <c r="D118" s="34" t="s">
        <v>207</v>
      </c>
      <c r="E118" s="34" t="s">
        <v>206</v>
      </c>
      <c r="F118" s="34"/>
      <c r="G118" s="71">
        <f t="shared" si="12"/>
        <v>996</v>
      </c>
      <c r="H118" s="71">
        <f>H119+H120+H121</f>
        <v>248.5</v>
      </c>
      <c r="I118" s="71">
        <f>I119+I120+I121</f>
        <v>134.22000000000003</v>
      </c>
      <c r="J118" s="71">
        <f>J119+J120+J121</f>
        <v>357.83</v>
      </c>
      <c r="K118" s="71">
        <f>K119+K120+K121</f>
        <v>255.45</v>
      </c>
      <c r="W118" s="71">
        <f>W119+W120+W121</f>
        <v>990</v>
      </c>
      <c r="X118" s="71">
        <f>X119+X120+X121</f>
        <v>990</v>
      </c>
    </row>
    <row r="119" spans="1:24" ht="11.25" customHeight="1">
      <c r="A119" s="26" t="s">
        <v>31</v>
      </c>
      <c r="B119" s="32" t="s">
        <v>88</v>
      </c>
      <c r="C119" s="32" t="s">
        <v>138</v>
      </c>
      <c r="D119" s="32" t="s">
        <v>207</v>
      </c>
      <c r="E119" s="32" t="s">
        <v>120</v>
      </c>
      <c r="F119" s="32" t="s">
        <v>53</v>
      </c>
      <c r="G119" s="74">
        <f t="shared" si="12"/>
        <v>986</v>
      </c>
      <c r="H119" s="74">
        <v>246.5</v>
      </c>
      <c r="I119" s="74">
        <f>246.5-5.95-108.33</f>
        <v>132.22000000000003</v>
      </c>
      <c r="J119" s="74">
        <f>246.5+108.33</f>
        <v>354.83</v>
      </c>
      <c r="K119" s="74">
        <f>246.5+5.95</f>
        <v>252.45</v>
      </c>
      <c r="W119" s="74">
        <v>980</v>
      </c>
      <c r="X119" s="74">
        <v>980</v>
      </c>
    </row>
    <row r="120" spans="1:24" ht="11.25" customHeight="1">
      <c r="A120" s="26" t="s">
        <v>31</v>
      </c>
      <c r="B120" s="32" t="s">
        <v>88</v>
      </c>
      <c r="C120" s="32" t="s">
        <v>138</v>
      </c>
      <c r="D120" s="32" t="s">
        <v>207</v>
      </c>
      <c r="E120" s="32" t="s">
        <v>139</v>
      </c>
      <c r="F120" s="32" t="s">
        <v>53</v>
      </c>
      <c r="G120" s="74">
        <f t="shared" si="12"/>
        <v>10</v>
      </c>
      <c r="H120" s="74">
        <v>2</v>
      </c>
      <c r="I120" s="74">
        <v>2</v>
      </c>
      <c r="J120" s="74">
        <v>3</v>
      </c>
      <c r="K120" s="74">
        <v>3</v>
      </c>
      <c r="W120" s="74">
        <v>10</v>
      </c>
      <c r="X120" s="74">
        <v>10</v>
      </c>
    </row>
    <row r="121" spans="1:24" ht="11.25" customHeight="1" hidden="1">
      <c r="A121" s="26" t="s">
        <v>31</v>
      </c>
      <c r="B121" s="32" t="s">
        <v>88</v>
      </c>
      <c r="C121" s="32" t="s">
        <v>138</v>
      </c>
      <c r="D121" s="32" t="s">
        <v>207</v>
      </c>
      <c r="E121" s="32" t="s">
        <v>297</v>
      </c>
      <c r="F121" s="32" t="s">
        <v>53</v>
      </c>
      <c r="G121" s="74">
        <f>H121+I121+J121+K121</f>
        <v>0</v>
      </c>
      <c r="H121" s="74"/>
      <c r="I121" s="74"/>
      <c r="J121" s="74"/>
      <c r="K121" s="74"/>
      <c r="W121" s="74"/>
      <c r="X121" s="74"/>
    </row>
    <row r="122" spans="1:24" ht="13.5" customHeight="1">
      <c r="A122" s="35" t="s">
        <v>214</v>
      </c>
      <c r="B122" s="34" t="s">
        <v>88</v>
      </c>
      <c r="C122" s="34" t="s">
        <v>138</v>
      </c>
      <c r="D122" s="34" t="s">
        <v>208</v>
      </c>
      <c r="E122" s="34" t="s">
        <v>142</v>
      </c>
      <c r="F122" s="34"/>
      <c r="G122" s="71">
        <f t="shared" si="12"/>
        <v>100</v>
      </c>
      <c r="H122" s="71">
        <f>H123</f>
        <v>25</v>
      </c>
      <c r="I122" s="71">
        <f>I123</f>
        <v>25</v>
      </c>
      <c r="J122" s="71">
        <f>J123</f>
        <v>25</v>
      </c>
      <c r="K122" s="71">
        <f>K123</f>
        <v>25</v>
      </c>
      <c r="W122" s="71">
        <f>W123</f>
        <v>100</v>
      </c>
      <c r="X122" s="71">
        <f>X123</f>
        <v>100</v>
      </c>
    </row>
    <row r="123" spans="1:24" ht="11.25" customHeight="1">
      <c r="A123" s="25" t="s">
        <v>34</v>
      </c>
      <c r="B123" s="32" t="s">
        <v>88</v>
      </c>
      <c r="C123" s="32" t="s">
        <v>138</v>
      </c>
      <c r="D123" s="32" t="s">
        <v>208</v>
      </c>
      <c r="E123" s="32" t="s">
        <v>109</v>
      </c>
      <c r="F123" s="32" t="s">
        <v>56</v>
      </c>
      <c r="G123" s="74">
        <f>J123+K123+H123+I123</f>
        <v>100</v>
      </c>
      <c r="H123" s="74">
        <v>25</v>
      </c>
      <c r="I123" s="74">
        <v>25</v>
      </c>
      <c r="J123" s="74">
        <v>25</v>
      </c>
      <c r="K123" s="74">
        <v>25</v>
      </c>
      <c r="W123" s="74">
        <v>100</v>
      </c>
      <c r="X123" s="74">
        <v>100</v>
      </c>
    </row>
    <row r="124" spans="1:24" ht="24" customHeight="1">
      <c r="A124" s="35" t="s">
        <v>209</v>
      </c>
      <c r="B124" s="34" t="s">
        <v>88</v>
      </c>
      <c r="C124" s="34" t="s">
        <v>138</v>
      </c>
      <c r="D124" s="34" t="s">
        <v>210</v>
      </c>
      <c r="E124" s="34" t="s">
        <v>142</v>
      </c>
      <c r="F124" s="34" t="s">
        <v>57</v>
      </c>
      <c r="G124" s="71">
        <f>H124+I124+J124+K124</f>
        <v>250.8</v>
      </c>
      <c r="H124" s="71">
        <f>H125</f>
        <v>40.8</v>
      </c>
      <c r="I124" s="71">
        <f>I125</f>
        <v>70</v>
      </c>
      <c r="J124" s="71">
        <f>J125</f>
        <v>70</v>
      </c>
      <c r="K124" s="71">
        <f>K125</f>
        <v>70</v>
      </c>
      <c r="W124" s="71">
        <f>W125</f>
        <v>250.8</v>
      </c>
      <c r="X124" s="71">
        <f>X125</f>
        <v>250.8</v>
      </c>
    </row>
    <row r="125" spans="1:24" ht="11.25" customHeight="1">
      <c r="A125" s="25" t="s">
        <v>36</v>
      </c>
      <c r="B125" s="32" t="s">
        <v>88</v>
      </c>
      <c r="C125" s="32" t="s">
        <v>138</v>
      </c>
      <c r="D125" s="32" t="s">
        <v>210</v>
      </c>
      <c r="E125" s="32" t="s">
        <v>109</v>
      </c>
      <c r="F125" s="32" t="s">
        <v>57</v>
      </c>
      <c r="G125" s="74">
        <f>SUM(H125:K125)</f>
        <v>250.8</v>
      </c>
      <c r="H125" s="74">
        <v>40.8</v>
      </c>
      <c r="I125" s="74">
        <v>70</v>
      </c>
      <c r="J125" s="74">
        <v>70</v>
      </c>
      <c r="K125" s="74">
        <v>70</v>
      </c>
      <c r="W125" s="74">
        <v>250.8</v>
      </c>
      <c r="X125" s="74">
        <v>250.8</v>
      </c>
    </row>
    <row r="126" spans="1:24" ht="11.25" customHeight="1">
      <c r="A126" s="35" t="s">
        <v>212</v>
      </c>
      <c r="B126" s="34" t="s">
        <v>88</v>
      </c>
      <c r="C126" s="34" t="s">
        <v>138</v>
      </c>
      <c r="D126" s="34" t="s">
        <v>211</v>
      </c>
      <c r="E126" s="34" t="s">
        <v>142</v>
      </c>
      <c r="F126" s="34"/>
      <c r="G126" s="71">
        <f>SUM(H126:K126)</f>
        <v>146.4</v>
      </c>
      <c r="H126" s="71">
        <f>H127</f>
        <v>36.6</v>
      </c>
      <c r="I126" s="71">
        <f>I127</f>
        <v>36.6</v>
      </c>
      <c r="J126" s="71">
        <f>J127</f>
        <v>36.6</v>
      </c>
      <c r="K126" s="71">
        <f>K127</f>
        <v>36.6</v>
      </c>
      <c r="W126" s="71">
        <f>W127</f>
        <v>146.4</v>
      </c>
      <c r="X126" s="71">
        <f>X127</f>
        <v>146.4</v>
      </c>
    </row>
    <row r="127" spans="1:24" ht="11.25" customHeight="1">
      <c r="A127" s="25" t="s">
        <v>98</v>
      </c>
      <c r="B127" s="32" t="s">
        <v>88</v>
      </c>
      <c r="C127" s="32" t="s">
        <v>138</v>
      </c>
      <c r="D127" s="32" t="s">
        <v>211</v>
      </c>
      <c r="E127" s="32" t="s">
        <v>109</v>
      </c>
      <c r="F127" s="32" t="s">
        <v>57</v>
      </c>
      <c r="G127" s="74">
        <f>SUM(H127:K127)</f>
        <v>146.4</v>
      </c>
      <c r="H127" s="74">
        <v>36.6</v>
      </c>
      <c r="I127" s="74">
        <v>36.6</v>
      </c>
      <c r="J127" s="74">
        <v>36.6</v>
      </c>
      <c r="K127" s="74">
        <v>36.6</v>
      </c>
      <c r="W127" s="74">
        <v>146.4</v>
      </c>
      <c r="X127" s="74">
        <v>146.4</v>
      </c>
    </row>
    <row r="128" spans="1:24" ht="11.25" customHeight="1">
      <c r="A128" s="35" t="s">
        <v>295</v>
      </c>
      <c r="B128" s="34" t="s">
        <v>88</v>
      </c>
      <c r="C128" s="34" t="s">
        <v>138</v>
      </c>
      <c r="D128" s="34" t="s">
        <v>296</v>
      </c>
      <c r="E128" s="34" t="s">
        <v>206</v>
      </c>
      <c r="F128" s="34"/>
      <c r="G128" s="71">
        <f>SUM(H128:K128)</f>
        <v>15</v>
      </c>
      <c r="H128" s="71">
        <f>H129</f>
        <v>15</v>
      </c>
      <c r="I128" s="71">
        <f>I129</f>
        <v>0</v>
      </c>
      <c r="J128" s="71">
        <f>J129</f>
        <v>0</v>
      </c>
      <c r="K128" s="71">
        <f>K129</f>
        <v>0</v>
      </c>
      <c r="W128" s="71">
        <f>W129</f>
        <v>15</v>
      </c>
      <c r="X128" s="71">
        <f>X129</f>
        <v>15</v>
      </c>
    </row>
    <row r="129" spans="1:24" ht="11.25" customHeight="1">
      <c r="A129" s="26" t="s">
        <v>31</v>
      </c>
      <c r="B129" s="32" t="s">
        <v>88</v>
      </c>
      <c r="C129" s="32" t="s">
        <v>138</v>
      </c>
      <c r="D129" s="32" t="s">
        <v>296</v>
      </c>
      <c r="E129" s="32" t="s">
        <v>297</v>
      </c>
      <c r="F129" s="32" t="s">
        <v>53</v>
      </c>
      <c r="G129" s="74">
        <f>SUM(H129:K129)</f>
        <v>15</v>
      </c>
      <c r="H129" s="74">
        <v>15</v>
      </c>
      <c r="I129" s="74">
        <v>0</v>
      </c>
      <c r="J129" s="74">
        <v>0</v>
      </c>
      <c r="K129" s="74">
        <v>0</v>
      </c>
      <c r="W129" s="74">
        <v>15</v>
      </c>
      <c r="X129" s="74">
        <v>15</v>
      </c>
    </row>
    <row r="130" spans="1:24" ht="44.25" customHeight="1" hidden="1">
      <c r="A130" s="35" t="s">
        <v>380</v>
      </c>
      <c r="B130" s="34" t="s">
        <v>88</v>
      </c>
      <c r="C130" s="34" t="s">
        <v>138</v>
      </c>
      <c r="D130" s="34" t="s">
        <v>381</v>
      </c>
      <c r="E130" s="34" t="s">
        <v>113</v>
      </c>
      <c r="F130" s="34" t="s">
        <v>41</v>
      </c>
      <c r="G130" s="74">
        <f>H130+I130+J130+K130</f>
        <v>0</v>
      </c>
      <c r="H130" s="74">
        <f>H131+H132</f>
        <v>0</v>
      </c>
      <c r="I130" s="74">
        <f>I131+I132</f>
        <v>0</v>
      </c>
      <c r="J130" s="74">
        <f>J131+J132</f>
        <v>0</v>
      </c>
      <c r="K130" s="74">
        <f>K131+K132</f>
        <v>0</v>
      </c>
      <c r="W130" s="74">
        <f>W131+W132</f>
        <v>0</v>
      </c>
      <c r="X130" s="74">
        <f>X131+X132</f>
        <v>0</v>
      </c>
    </row>
    <row r="131" spans="1:24" ht="11.25" customHeight="1" hidden="1">
      <c r="A131" s="26" t="s">
        <v>16</v>
      </c>
      <c r="B131" s="32" t="s">
        <v>88</v>
      </c>
      <c r="C131" s="32" t="s">
        <v>138</v>
      </c>
      <c r="D131" s="32" t="s">
        <v>381</v>
      </c>
      <c r="E131" s="32" t="s">
        <v>114</v>
      </c>
      <c r="F131" s="32" t="s">
        <v>293</v>
      </c>
      <c r="G131" s="74">
        <f>H131+I131+J131+K131</f>
        <v>0</v>
      </c>
      <c r="H131" s="74">
        <v>0</v>
      </c>
      <c r="I131" s="74"/>
      <c r="J131" s="74"/>
      <c r="K131" s="74"/>
      <c r="W131" s="74"/>
      <c r="X131" s="74"/>
    </row>
    <row r="132" spans="1:24" ht="11.25" customHeight="1" hidden="1">
      <c r="A132" s="26" t="s">
        <v>18</v>
      </c>
      <c r="B132" s="32" t="s">
        <v>88</v>
      </c>
      <c r="C132" s="32" t="s">
        <v>138</v>
      </c>
      <c r="D132" s="32" t="s">
        <v>381</v>
      </c>
      <c r="E132" s="32" t="s">
        <v>293</v>
      </c>
      <c r="F132" s="32" t="s">
        <v>44</v>
      </c>
      <c r="G132" s="74">
        <f>H132+I132+J132+K132</f>
        <v>0</v>
      </c>
      <c r="H132" s="74">
        <v>0</v>
      </c>
      <c r="I132" s="74"/>
      <c r="J132" s="74"/>
      <c r="K132" s="74"/>
      <c r="W132" s="74"/>
      <c r="X132" s="74"/>
    </row>
    <row r="133" spans="1:24" ht="11.25" customHeight="1" hidden="1">
      <c r="A133" s="26"/>
      <c r="B133" s="32"/>
      <c r="C133" s="32"/>
      <c r="D133" s="32"/>
      <c r="E133" s="32"/>
      <c r="F133" s="32"/>
      <c r="G133" s="74"/>
      <c r="H133" s="74"/>
      <c r="I133" s="74"/>
      <c r="J133" s="74"/>
      <c r="K133" s="74"/>
      <c r="W133" s="74"/>
      <c r="X133" s="74"/>
    </row>
    <row r="134" spans="1:24" ht="11.25" customHeight="1" hidden="1">
      <c r="A134" s="26"/>
      <c r="B134" s="32"/>
      <c r="C134" s="32"/>
      <c r="D134" s="32"/>
      <c r="E134" s="32"/>
      <c r="F134" s="32"/>
      <c r="G134" s="74"/>
      <c r="H134" s="74"/>
      <c r="I134" s="74"/>
      <c r="J134" s="74"/>
      <c r="K134" s="74"/>
      <c r="W134" s="74"/>
      <c r="X134" s="74"/>
    </row>
    <row r="135" spans="1:24" ht="11.25" customHeight="1" hidden="1">
      <c r="A135" s="26"/>
      <c r="B135" s="32"/>
      <c r="C135" s="32"/>
      <c r="D135" s="32"/>
      <c r="E135" s="32"/>
      <c r="F135" s="32"/>
      <c r="G135" s="74"/>
      <c r="H135" s="74"/>
      <c r="I135" s="74"/>
      <c r="J135" s="74"/>
      <c r="K135" s="74"/>
      <c r="W135" s="74"/>
      <c r="X135" s="74"/>
    </row>
    <row r="136" spans="1:24" ht="36" customHeight="1">
      <c r="A136" s="30" t="s">
        <v>266</v>
      </c>
      <c r="B136" s="31" t="s">
        <v>88</v>
      </c>
      <c r="C136" s="31" t="s">
        <v>138</v>
      </c>
      <c r="D136" s="31" t="s">
        <v>267</v>
      </c>
      <c r="E136" s="31" t="s">
        <v>66</v>
      </c>
      <c r="F136" s="31"/>
      <c r="G136" s="75">
        <f aca="true" t="shared" si="13" ref="G136:G145">H136+I136+J136+K136</f>
        <v>6.43</v>
      </c>
      <c r="H136" s="75">
        <f>H137+H138+H139</f>
        <v>0</v>
      </c>
      <c r="I136" s="75">
        <f>I137+I138+I139</f>
        <v>0</v>
      </c>
      <c r="J136" s="75">
        <f>J137+J138+J139</f>
        <v>6.43</v>
      </c>
      <c r="K136" s="75">
        <f>K137+K138+K139</f>
        <v>0</v>
      </c>
      <c r="W136" s="75">
        <f>W137+W138+W139</f>
        <v>7.3</v>
      </c>
      <c r="X136" s="75">
        <f>X137+X138+X139</f>
        <v>7.3</v>
      </c>
    </row>
    <row r="137" spans="1:24" ht="11.25" customHeight="1">
      <c r="A137" s="25" t="s">
        <v>22</v>
      </c>
      <c r="B137" s="32" t="s">
        <v>88</v>
      </c>
      <c r="C137" s="32" t="s">
        <v>138</v>
      </c>
      <c r="D137" s="32" t="s">
        <v>267</v>
      </c>
      <c r="E137" s="32" t="s">
        <v>109</v>
      </c>
      <c r="F137" s="32" t="s">
        <v>265</v>
      </c>
      <c r="G137" s="74">
        <f t="shared" si="13"/>
        <v>0.93</v>
      </c>
      <c r="H137" s="74">
        <f>0.3973-0.3973</f>
        <v>0</v>
      </c>
      <c r="I137" s="74">
        <f>0.3973-0.3973</f>
        <v>0</v>
      </c>
      <c r="J137" s="74">
        <v>0.93</v>
      </c>
      <c r="K137" s="74">
        <v>0</v>
      </c>
      <c r="W137" s="74">
        <v>1.8</v>
      </c>
      <c r="X137" s="74">
        <v>1.8</v>
      </c>
    </row>
    <row r="138" spans="1:24" ht="10.5" customHeight="1">
      <c r="A138" s="25" t="s">
        <v>143</v>
      </c>
      <c r="B138" s="32" t="s">
        <v>88</v>
      </c>
      <c r="C138" s="32" t="s">
        <v>138</v>
      </c>
      <c r="D138" s="32" t="s">
        <v>267</v>
      </c>
      <c r="E138" s="32" t="s">
        <v>109</v>
      </c>
      <c r="F138" s="32" t="s">
        <v>51</v>
      </c>
      <c r="G138" s="74">
        <f t="shared" si="13"/>
        <v>5.5</v>
      </c>
      <c r="H138" s="74">
        <v>0</v>
      </c>
      <c r="I138" s="74">
        <f>5.8-0.29969-5.50031</f>
        <v>0</v>
      </c>
      <c r="J138" s="74">
        <v>5.5</v>
      </c>
      <c r="K138" s="74">
        <v>0</v>
      </c>
      <c r="W138" s="74">
        <v>5.5</v>
      </c>
      <c r="X138" s="74">
        <v>5.5</v>
      </c>
    </row>
    <row r="139" spans="1:24" ht="22.5" customHeight="1" hidden="1">
      <c r="A139" s="25" t="s">
        <v>30</v>
      </c>
      <c r="B139" s="32" t="s">
        <v>88</v>
      </c>
      <c r="C139" s="32" t="s">
        <v>138</v>
      </c>
      <c r="D139" s="32" t="s">
        <v>267</v>
      </c>
      <c r="E139" s="32" t="s">
        <v>109</v>
      </c>
      <c r="F139" s="32" t="s">
        <v>52</v>
      </c>
      <c r="G139" s="74">
        <f t="shared" si="13"/>
        <v>0</v>
      </c>
      <c r="H139" s="74">
        <v>0</v>
      </c>
      <c r="I139" s="74">
        <f>199.9952-199.9952</f>
        <v>0</v>
      </c>
      <c r="J139" s="74">
        <f>199.9952-199.9952</f>
        <v>0</v>
      </c>
      <c r="K139" s="74">
        <v>0</v>
      </c>
      <c r="W139" s="74">
        <f>199.9952-199.9952</f>
        <v>0</v>
      </c>
      <c r="X139" s="74">
        <v>0</v>
      </c>
    </row>
    <row r="140" spans="1:24" ht="24.75" customHeight="1" hidden="1">
      <c r="A140" s="30" t="s">
        <v>323</v>
      </c>
      <c r="B140" s="31" t="s">
        <v>88</v>
      </c>
      <c r="C140" s="31" t="s">
        <v>138</v>
      </c>
      <c r="D140" s="31" t="s">
        <v>324</v>
      </c>
      <c r="E140" s="31" t="s">
        <v>66</v>
      </c>
      <c r="F140" s="31"/>
      <c r="G140" s="75">
        <f>H140+I140+J140+K140</f>
        <v>0</v>
      </c>
      <c r="H140" s="75">
        <f>H141</f>
        <v>0</v>
      </c>
      <c r="I140" s="75">
        <f>I141</f>
        <v>0</v>
      </c>
      <c r="J140" s="75">
        <f>J141</f>
        <v>0</v>
      </c>
      <c r="K140" s="75">
        <f>K141</f>
        <v>0</v>
      </c>
      <c r="W140" s="75">
        <f>W141</f>
        <v>0</v>
      </c>
      <c r="X140" s="75">
        <f>X141</f>
        <v>0</v>
      </c>
    </row>
    <row r="141" spans="1:24" ht="11.25" customHeight="1" hidden="1">
      <c r="A141" s="25" t="s">
        <v>31</v>
      </c>
      <c r="B141" s="32" t="s">
        <v>88</v>
      </c>
      <c r="C141" s="32" t="s">
        <v>138</v>
      </c>
      <c r="D141" s="32" t="s">
        <v>324</v>
      </c>
      <c r="E141" s="32" t="s">
        <v>325</v>
      </c>
      <c r="F141" s="32" t="s">
        <v>53</v>
      </c>
      <c r="G141" s="74">
        <f>H141+I141+J141+K141</f>
        <v>0</v>
      </c>
      <c r="H141" s="74">
        <v>0</v>
      </c>
      <c r="I141" s="74">
        <v>0</v>
      </c>
      <c r="J141" s="74">
        <v>0</v>
      </c>
      <c r="K141" s="74">
        <v>0</v>
      </c>
      <c r="W141" s="74">
        <v>0</v>
      </c>
      <c r="X141" s="74">
        <v>0</v>
      </c>
    </row>
    <row r="142" spans="1:24" ht="11.25" customHeight="1" hidden="1">
      <c r="A142" s="30" t="s">
        <v>350</v>
      </c>
      <c r="B142" s="31" t="s">
        <v>88</v>
      </c>
      <c r="C142" s="31" t="s">
        <v>138</v>
      </c>
      <c r="D142" s="31" t="s">
        <v>351</v>
      </c>
      <c r="E142" s="31" t="s">
        <v>66</v>
      </c>
      <c r="F142" s="31"/>
      <c r="G142" s="75">
        <f>H142+I142+J142+K142</f>
        <v>0</v>
      </c>
      <c r="H142" s="75">
        <f>H143</f>
        <v>0</v>
      </c>
      <c r="I142" s="75">
        <f>I143</f>
        <v>0</v>
      </c>
      <c r="J142" s="75">
        <f>J143</f>
        <v>0</v>
      </c>
      <c r="K142" s="75">
        <f>K143</f>
        <v>0</v>
      </c>
      <c r="W142" s="75">
        <f>W143</f>
        <v>0</v>
      </c>
      <c r="X142" s="75">
        <f>X143</f>
        <v>0</v>
      </c>
    </row>
    <row r="143" spans="1:24" ht="1.5" customHeight="1">
      <c r="A143" s="25" t="s">
        <v>31</v>
      </c>
      <c r="B143" s="32" t="s">
        <v>88</v>
      </c>
      <c r="C143" s="32" t="s">
        <v>138</v>
      </c>
      <c r="D143" s="32" t="s">
        <v>351</v>
      </c>
      <c r="E143" s="32" t="s">
        <v>109</v>
      </c>
      <c r="F143" s="32" t="s">
        <v>52</v>
      </c>
      <c r="G143" s="74">
        <f>H143+I143+J143+K143</f>
        <v>0</v>
      </c>
      <c r="H143" s="74">
        <v>0</v>
      </c>
      <c r="I143" s="74">
        <v>0</v>
      </c>
      <c r="J143" s="74">
        <v>0</v>
      </c>
      <c r="K143" s="74"/>
      <c r="W143" s="74">
        <v>0</v>
      </c>
      <c r="X143" s="74"/>
    </row>
    <row r="144" spans="1:24" ht="36" customHeight="1">
      <c r="A144" s="30" t="s">
        <v>251</v>
      </c>
      <c r="B144" s="31" t="s">
        <v>88</v>
      </c>
      <c r="C144" s="31" t="s">
        <v>138</v>
      </c>
      <c r="D144" s="31" t="s">
        <v>250</v>
      </c>
      <c r="E144" s="31" t="s">
        <v>66</v>
      </c>
      <c r="F144" s="31"/>
      <c r="G144" s="75">
        <f t="shared" si="13"/>
        <v>300</v>
      </c>
      <c r="H144" s="75">
        <f>H145</f>
        <v>75</v>
      </c>
      <c r="I144" s="75">
        <f>I145</f>
        <v>75</v>
      </c>
      <c r="J144" s="75">
        <f>J145</f>
        <v>75</v>
      </c>
      <c r="K144" s="75">
        <f>K145</f>
        <v>75</v>
      </c>
      <c r="W144" s="75">
        <f>W145</f>
        <v>300</v>
      </c>
      <c r="X144" s="75">
        <f>X145</f>
        <v>300</v>
      </c>
    </row>
    <row r="145" spans="1:24" ht="11.25" customHeight="1">
      <c r="A145" s="25" t="s">
        <v>30</v>
      </c>
      <c r="B145" s="32" t="s">
        <v>88</v>
      </c>
      <c r="C145" s="32" t="s">
        <v>138</v>
      </c>
      <c r="D145" s="32" t="s">
        <v>250</v>
      </c>
      <c r="E145" s="32" t="s">
        <v>109</v>
      </c>
      <c r="F145" s="32" t="s">
        <v>52</v>
      </c>
      <c r="G145" s="74">
        <f t="shared" si="13"/>
        <v>300</v>
      </c>
      <c r="H145" s="74">
        <v>75</v>
      </c>
      <c r="I145" s="74">
        <v>75</v>
      </c>
      <c r="J145" s="74">
        <v>75</v>
      </c>
      <c r="K145" s="74">
        <v>75</v>
      </c>
      <c r="W145" s="74">
        <v>300</v>
      </c>
      <c r="X145" s="74">
        <v>300</v>
      </c>
    </row>
    <row r="146" spans="1:24" ht="52.5" customHeight="1">
      <c r="A146" s="30" t="s">
        <v>62</v>
      </c>
      <c r="B146" s="31" t="s">
        <v>88</v>
      </c>
      <c r="C146" s="31" t="s">
        <v>63</v>
      </c>
      <c r="D146" s="31" t="s">
        <v>168</v>
      </c>
      <c r="E146" s="31" t="s">
        <v>66</v>
      </c>
      <c r="F146" s="31"/>
      <c r="G146" s="73">
        <f>H146+I146+J146+K146</f>
        <v>607.5999999999999</v>
      </c>
      <c r="H146" s="73">
        <f>H147+H151+H152+H155</f>
        <v>151.79999999999998</v>
      </c>
      <c r="I146" s="73">
        <f>I147+I151+I152+I155</f>
        <v>151.89999999999998</v>
      </c>
      <c r="J146" s="73">
        <f>J147+J151+J152+J155</f>
        <v>151.89999999999998</v>
      </c>
      <c r="K146" s="73">
        <f>K147+K151+K152+K155</f>
        <v>152</v>
      </c>
      <c r="W146" s="73">
        <f>W147+W151+W152+W155</f>
        <v>607.6</v>
      </c>
      <c r="X146" s="73">
        <f>X147+X151+X152+X155</f>
        <v>607.6</v>
      </c>
    </row>
    <row r="147" spans="1:24" ht="14.25" customHeight="1">
      <c r="A147" s="25" t="s">
        <v>15</v>
      </c>
      <c r="B147" s="32" t="s">
        <v>88</v>
      </c>
      <c r="C147" s="32" t="s">
        <v>63</v>
      </c>
      <c r="D147" s="32" t="s">
        <v>168</v>
      </c>
      <c r="E147" s="32" t="s">
        <v>102</v>
      </c>
      <c r="F147" s="32" t="s">
        <v>41</v>
      </c>
      <c r="G147" s="74">
        <f>G148+G150</f>
        <v>524.8</v>
      </c>
      <c r="H147" s="74">
        <f>H148+H150</f>
        <v>131.1</v>
      </c>
      <c r="I147" s="74">
        <f>I148+I150</f>
        <v>131.2</v>
      </c>
      <c r="J147" s="74">
        <f>J148+J150</f>
        <v>131.2</v>
      </c>
      <c r="K147" s="74">
        <f>K148+K150</f>
        <v>131.3</v>
      </c>
      <c r="W147" s="74">
        <f>W148+W150</f>
        <v>524.8000000000001</v>
      </c>
      <c r="X147" s="74">
        <f>X148+X150</f>
        <v>524.8000000000001</v>
      </c>
    </row>
    <row r="148" spans="1:24" ht="15" customHeight="1">
      <c r="A148" s="26" t="s">
        <v>16</v>
      </c>
      <c r="B148" s="32" t="s">
        <v>88</v>
      </c>
      <c r="C148" s="32" t="s">
        <v>63</v>
      </c>
      <c r="D148" s="32" t="s">
        <v>168</v>
      </c>
      <c r="E148" s="32" t="s">
        <v>103</v>
      </c>
      <c r="F148" s="32" t="s">
        <v>42</v>
      </c>
      <c r="G148" s="74">
        <f>H148+I148+J148+K148</f>
        <v>403.1</v>
      </c>
      <c r="H148" s="74">
        <v>100.7</v>
      </c>
      <c r="I148" s="74">
        <v>100.8</v>
      </c>
      <c r="J148" s="74">
        <v>100.8</v>
      </c>
      <c r="K148" s="74">
        <v>100.8</v>
      </c>
      <c r="Q148" s="18"/>
      <c r="W148" s="74">
        <v>403.1</v>
      </c>
      <c r="X148" s="74">
        <v>403.1</v>
      </c>
    </row>
    <row r="149" spans="1:24" ht="14.25" customHeight="1" hidden="1">
      <c r="A149" s="26" t="s">
        <v>17</v>
      </c>
      <c r="B149" s="32" t="s">
        <v>88</v>
      </c>
      <c r="C149" s="32" t="s">
        <v>63</v>
      </c>
      <c r="D149" s="32" t="s">
        <v>168</v>
      </c>
      <c r="E149" s="32" t="s">
        <v>108</v>
      </c>
      <c r="F149" s="32" t="s">
        <v>43</v>
      </c>
      <c r="G149" s="74"/>
      <c r="H149" s="74"/>
      <c r="I149" s="74"/>
      <c r="J149" s="74"/>
      <c r="K149" s="74"/>
      <c r="W149" s="74"/>
      <c r="X149" s="74"/>
    </row>
    <row r="150" spans="1:24" ht="12.75" customHeight="1">
      <c r="A150" s="26" t="s">
        <v>18</v>
      </c>
      <c r="B150" s="32" t="s">
        <v>88</v>
      </c>
      <c r="C150" s="32" t="s">
        <v>63</v>
      </c>
      <c r="D150" s="32" t="s">
        <v>168</v>
      </c>
      <c r="E150" s="32" t="s">
        <v>292</v>
      </c>
      <c r="F150" s="32" t="s">
        <v>44</v>
      </c>
      <c r="G150" s="74">
        <f>H150+I150+J150+K150</f>
        <v>121.69999999999999</v>
      </c>
      <c r="H150" s="74">
        <v>30.4</v>
      </c>
      <c r="I150" s="74">
        <v>30.4</v>
      </c>
      <c r="J150" s="74">
        <v>30.4</v>
      </c>
      <c r="K150" s="74">
        <v>30.5</v>
      </c>
      <c r="W150" s="74">
        <v>121.7</v>
      </c>
      <c r="X150" s="74">
        <v>121.7</v>
      </c>
    </row>
    <row r="151" spans="1:24" ht="12.75" customHeight="1" hidden="1">
      <c r="A151" s="26" t="s">
        <v>20</v>
      </c>
      <c r="B151" s="32" t="s">
        <v>88</v>
      </c>
      <c r="C151" s="32" t="s">
        <v>63</v>
      </c>
      <c r="D151" s="32" t="s">
        <v>168</v>
      </c>
      <c r="E151" s="32" t="s">
        <v>109</v>
      </c>
      <c r="F151" s="32" t="s">
        <v>48</v>
      </c>
      <c r="G151" s="74">
        <f>H151+I151+J151+K151</f>
        <v>0</v>
      </c>
      <c r="H151" s="74"/>
      <c r="I151" s="74"/>
      <c r="J151" s="74"/>
      <c r="K151" s="74"/>
      <c r="W151" s="74"/>
      <c r="X151" s="74"/>
    </row>
    <row r="152" spans="1:24" ht="12.75" customHeight="1" hidden="1">
      <c r="A152" s="26" t="s">
        <v>22</v>
      </c>
      <c r="B152" s="32" t="s">
        <v>88</v>
      </c>
      <c r="C152" s="32" t="s">
        <v>138</v>
      </c>
      <c r="D152" s="32" t="s">
        <v>168</v>
      </c>
      <c r="E152" s="32" t="s">
        <v>109</v>
      </c>
      <c r="F152" s="32" t="s">
        <v>50</v>
      </c>
      <c r="G152" s="74">
        <f>H152+I152+J152+K152</f>
        <v>0</v>
      </c>
      <c r="H152" s="74">
        <f aca="true" t="shared" si="14" ref="H152:K153">H153</f>
        <v>0</v>
      </c>
      <c r="I152" s="74">
        <f t="shared" si="14"/>
        <v>0</v>
      </c>
      <c r="J152" s="74">
        <f t="shared" si="14"/>
        <v>0</v>
      </c>
      <c r="K152" s="74">
        <f t="shared" si="14"/>
        <v>0</v>
      </c>
      <c r="W152" s="74">
        <f>W153</f>
        <v>0</v>
      </c>
      <c r="X152" s="74">
        <f>X153</f>
        <v>0</v>
      </c>
    </row>
    <row r="153" spans="1:24" ht="12.75" customHeight="1" hidden="1">
      <c r="A153" s="26" t="s">
        <v>23</v>
      </c>
      <c r="B153" s="32" t="s">
        <v>88</v>
      </c>
      <c r="C153" s="32" t="s">
        <v>138</v>
      </c>
      <c r="D153" s="32" t="s">
        <v>168</v>
      </c>
      <c r="E153" s="32" t="s">
        <v>109</v>
      </c>
      <c r="F153" s="32"/>
      <c r="G153" s="74">
        <f>H153+I153+J153+K153</f>
        <v>0</v>
      </c>
      <c r="H153" s="74">
        <f t="shared" si="14"/>
        <v>0</v>
      </c>
      <c r="I153" s="74">
        <f t="shared" si="14"/>
        <v>0</v>
      </c>
      <c r="J153" s="74">
        <f t="shared" si="14"/>
        <v>0</v>
      </c>
      <c r="K153" s="74">
        <f t="shared" si="14"/>
        <v>0</v>
      </c>
      <c r="W153" s="74">
        <f>W154</f>
        <v>0</v>
      </c>
      <c r="X153" s="74">
        <f>X154</f>
        <v>0</v>
      </c>
    </row>
    <row r="154" spans="1:24" ht="12.75" customHeight="1" hidden="1">
      <c r="A154" s="26" t="s">
        <v>24</v>
      </c>
      <c r="B154" s="32" t="s">
        <v>88</v>
      </c>
      <c r="C154" s="32" t="s">
        <v>138</v>
      </c>
      <c r="D154" s="32" t="s">
        <v>168</v>
      </c>
      <c r="E154" s="32" t="s">
        <v>109</v>
      </c>
      <c r="F154" s="32" t="s">
        <v>261</v>
      </c>
      <c r="G154" s="74">
        <f>H154+I154+J154+K154</f>
        <v>0</v>
      </c>
      <c r="H154" s="74"/>
      <c r="I154" s="74"/>
      <c r="J154" s="74"/>
      <c r="K154" s="74"/>
      <c r="W154" s="74"/>
      <c r="X154" s="74"/>
    </row>
    <row r="155" spans="1:24" ht="15" customHeight="1">
      <c r="A155" s="25" t="s">
        <v>33</v>
      </c>
      <c r="B155" s="32" t="s">
        <v>88</v>
      </c>
      <c r="C155" s="32" t="s">
        <v>63</v>
      </c>
      <c r="D155" s="32" t="s">
        <v>168</v>
      </c>
      <c r="E155" s="32" t="s">
        <v>110</v>
      </c>
      <c r="F155" s="32" t="s">
        <v>55</v>
      </c>
      <c r="G155" s="74">
        <f aca="true" t="shared" si="15" ref="G155:G163">H155+I155+J155+K155</f>
        <v>82.8</v>
      </c>
      <c r="H155" s="74">
        <f>H156</f>
        <v>20.7</v>
      </c>
      <c r="I155" s="74">
        <f>I156</f>
        <v>20.7</v>
      </c>
      <c r="J155" s="74">
        <f>J156</f>
        <v>20.7</v>
      </c>
      <c r="K155" s="74">
        <f>K156</f>
        <v>20.7</v>
      </c>
      <c r="W155" s="74">
        <f>W156</f>
        <v>82.8</v>
      </c>
      <c r="X155" s="74">
        <f>X156</f>
        <v>82.8</v>
      </c>
    </row>
    <row r="156" spans="1:24" ht="15.75" customHeight="1">
      <c r="A156" s="25" t="s">
        <v>98</v>
      </c>
      <c r="B156" s="32" t="s">
        <v>88</v>
      </c>
      <c r="C156" s="32" t="s">
        <v>63</v>
      </c>
      <c r="D156" s="32" t="s">
        <v>168</v>
      </c>
      <c r="E156" s="32" t="s">
        <v>109</v>
      </c>
      <c r="F156" s="32" t="s">
        <v>57</v>
      </c>
      <c r="G156" s="74">
        <f>H156+I156+J156+K156</f>
        <v>82.8</v>
      </c>
      <c r="H156" s="74">
        <v>20.7</v>
      </c>
      <c r="I156" s="74">
        <v>20.7</v>
      </c>
      <c r="J156" s="74">
        <v>20.7</v>
      </c>
      <c r="K156" s="74">
        <v>20.7</v>
      </c>
      <c r="W156" s="74">
        <v>82.8</v>
      </c>
      <c r="X156" s="74">
        <v>82.8</v>
      </c>
    </row>
    <row r="157" spans="1:24" ht="27" customHeight="1">
      <c r="A157" s="36" t="s">
        <v>169</v>
      </c>
      <c r="B157" s="31" t="s">
        <v>88</v>
      </c>
      <c r="C157" s="31" t="s">
        <v>172</v>
      </c>
      <c r="D157" s="31" t="s">
        <v>173</v>
      </c>
      <c r="E157" s="31" t="s">
        <v>66</v>
      </c>
      <c r="F157" s="31"/>
      <c r="G157" s="73">
        <f>G158+G161</f>
        <v>939.01</v>
      </c>
      <c r="H157" s="73">
        <f>H158+H161</f>
        <v>219.7</v>
      </c>
      <c r="I157" s="73">
        <f>I158+I161</f>
        <v>239.8</v>
      </c>
      <c r="J157" s="73">
        <f>J158+J161</f>
        <v>239.7</v>
      </c>
      <c r="K157" s="73">
        <f>K158+K161</f>
        <v>239.81</v>
      </c>
      <c r="W157" s="73">
        <f>W158+W161</f>
        <v>939.01</v>
      </c>
      <c r="X157" s="73">
        <f>X158+X161</f>
        <v>939.01</v>
      </c>
    </row>
    <row r="158" spans="1:24" ht="39.75" customHeight="1">
      <c r="A158" s="30" t="s">
        <v>459</v>
      </c>
      <c r="B158" s="31" t="s">
        <v>88</v>
      </c>
      <c r="C158" s="31" t="s">
        <v>115</v>
      </c>
      <c r="D158" s="31" t="s">
        <v>171</v>
      </c>
      <c r="E158" s="31" t="s">
        <v>66</v>
      </c>
      <c r="F158" s="31"/>
      <c r="G158" s="75">
        <f aca="true" t="shared" si="16" ref="G158:K159">G159</f>
        <v>100</v>
      </c>
      <c r="H158" s="75">
        <f t="shared" si="16"/>
        <v>10</v>
      </c>
      <c r="I158" s="75">
        <f t="shared" si="16"/>
        <v>30</v>
      </c>
      <c r="J158" s="75">
        <f t="shared" si="16"/>
        <v>30</v>
      </c>
      <c r="K158" s="75">
        <f t="shared" si="16"/>
        <v>30</v>
      </c>
      <c r="W158" s="75">
        <f>W159</f>
        <v>100</v>
      </c>
      <c r="X158" s="75">
        <f>X159</f>
        <v>100</v>
      </c>
    </row>
    <row r="159" spans="1:24" ht="27" customHeight="1">
      <c r="A159" s="35" t="s">
        <v>450</v>
      </c>
      <c r="B159" s="34" t="s">
        <v>88</v>
      </c>
      <c r="C159" s="34" t="s">
        <v>115</v>
      </c>
      <c r="D159" s="34" t="s">
        <v>170</v>
      </c>
      <c r="E159" s="34" t="s">
        <v>110</v>
      </c>
      <c r="F159" s="34"/>
      <c r="G159" s="71">
        <f t="shared" si="16"/>
        <v>100</v>
      </c>
      <c r="H159" s="71">
        <f t="shared" si="16"/>
        <v>10</v>
      </c>
      <c r="I159" s="71">
        <f t="shared" si="16"/>
        <v>30</v>
      </c>
      <c r="J159" s="71">
        <f t="shared" si="16"/>
        <v>30</v>
      </c>
      <c r="K159" s="71">
        <f t="shared" si="16"/>
        <v>30</v>
      </c>
      <c r="W159" s="71">
        <f>W160</f>
        <v>100</v>
      </c>
      <c r="X159" s="71">
        <f>X160</f>
        <v>100</v>
      </c>
    </row>
    <row r="160" spans="1:24" ht="12" customHeight="1">
      <c r="A160" s="25" t="s">
        <v>98</v>
      </c>
      <c r="B160" s="32" t="s">
        <v>88</v>
      </c>
      <c r="C160" s="32" t="s">
        <v>115</v>
      </c>
      <c r="D160" s="32" t="s">
        <v>170</v>
      </c>
      <c r="E160" s="32" t="s">
        <v>109</v>
      </c>
      <c r="F160" s="32" t="s">
        <v>57</v>
      </c>
      <c r="G160" s="74">
        <f>H160+I160+J160+K160</f>
        <v>100</v>
      </c>
      <c r="H160" s="74">
        <v>10</v>
      </c>
      <c r="I160" s="74">
        <v>30</v>
      </c>
      <c r="J160" s="74">
        <v>30</v>
      </c>
      <c r="K160" s="74">
        <v>30</v>
      </c>
      <c r="R160" s="14" t="s">
        <v>435</v>
      </c>
      <c r="W160" s="74">
        <v>100</v>
      </c>
      <c r="X160" s="74">
        <v>100</v>
      </c>
    </row>
    <row r="161" spans="1:24" ht="58.5" customHeight="1">
      <c r="A161" s="30" t="s">
        <v>174</v>
      </c>
      <c r="B161" s="31" t="s">
        <v>88</v>
      </c>
      <c r="C161" s="31" t="s">
        <v>115</v>
      </c>
      <c r="D161" s="31" t="s">
        <v>359</v>
      </c>
      <c r="E161" s="31" t="s">
        <v>40</v>
      </c>
      <c r="F161" s="31"/>
      <c r="G161" s="75">
        <f t="shared" si="15"/>
        <v>839.01</v>
      </c>
      <c r="H161" s="75">
        <f>H162</f>
        <v>209.7</v>
      </c>
      <c r="I161" s="75">
        <f>I162</f>
        <v>209.8</v>
      </c>
      <c r="J161" s="75">
        <f>J162</f>
        <v>209.7</v>
      </c>
      <c r="K161" s="75">
        <f>K162</f>
        <v>209.81</v>
      </c>
      <c r="W161" s="75">
        <f>W162</f>
        <v>839.01</v>
      </c>
      <c r="X161" s="75">
        <f>X162</f>
        <v>839.01</v>
      </c>
    </row>
    <row r="162" spans="1:24" ht="14.25" customHeight="1">
      <c r="A162" s="25" t="s">
        <v>116</v>
      </c>
      <c r="B162" s="32" t="s">
        <v>88</v>
      </c>
      <c r="C162" s="32" t="s">
        <v>115</v>
      </c>
      <c r="D162" s="32" t="s">
        <v>359</v>
      </c>
      <c r="E162" s="32" t="s">
        <v>151</v>
      </c>
      <c r="F162" s="32" t="s">
        <v>83</v>
      </c>
      <c r="G162" s="74">
        <f t="shared" si="15"/>
        <v>839.01</v>
      </c>
      <c r="H162" s="74">
        <v>209.7</v>
      </c>
      <c r="I162" s="74">
        <v>209.8</v>
      </c>
      <c r="J162" s="74">
        <v>209.7</v>
      </c>
      <c r="K162" s="74">
        <v>209.81</v>
      </c>
      <c r="W162" s="74">
        <v>839.01</v>
      </c>
      <c r="X162" s="74">
        <v>839.01</v>
      </c>
    </row>
    <row r="163" spans="1:24" ht="15" customHeight="1">
      <c r="A163" s="37" t="s">
        <v>117</v>
      </c>
      <c r="B163" s="31" t="s">
        <v>88</v>
      </c>
      <c r="C163" s="31" t="s">
        <v>326</v>
      </c>
      <c r="D163" s="31" t="s">
        <v>173</v>
      </c>
      <c r="E163" s="31" t="s">
        <v>66</v>
      </c>
      <c r="F163" s="31"/>
      <c r="G163" s="73">
        <f t="shared" si="15"/>
        <v>14472.929999999998</v>
      </c>
      <c r="H163" s="73">
        <f>H164+H170+H223+H225</f>
        <v>5480</v>
      </c>
      <c r="I163" s="73">
        <f>I164+I170+I223+I225</f>
        <v>2577.33</v>
      </c>
      <c r="J163" s="73">
        <f>J164+J170+J223+J225</f>
        <v>3265.95</v>
      </c>
      <c r="K163" s="73">
        <f>K164+K170+K223+K225</f>
        <v>3149.65</v>
      </c>
      <c r="W163" s="73">
        <f>W164+W170+W223+W225</f>
        <v>14005</v>
      </c>
      <c r="X163" s="73">
        <f>X164+X170+X223+X225</f>
        <v>12967.7</v>
      </c>
    </row>
    <row r="164" spans="1:24" ht="15" customHeight="1" hidden="1">
      <c r="A164" s="36" t="s">
        <v>327</v>
      </c>
      <c r="B164" s="31" t="s">
        <v>88</v>
      </c>
      <c r="C164" s="31" t="s">
        <v>328</v>
      </c>
      <c r="D164" s="31" t="s">
        <v>173</v>
      </c>
      <c r="E164" s="31" t="s">
        <v>66</v>
      </c>
      <c r="F164" s="31"/>
      <c r="G164" s="73">
        <f aca="true" t="shared" si="17" ref="G164:G170">H164+I164+J164+K164</f>
        <v>0</v>
      </c>
      <c r="H164" s="73">
        <f>H165</f>
        <v>0</v>
      </c>
      <c r="I164" s="73">
        <f>I165</f>
        <v>0</v>
      </c>
      <c r="J164" s="73">
        <f>J165</f>
        <v>0</v>
      </c>
      <c r="K164" s="73">
        <f>K165</f>
        <v>0</v>
      </c>
      <c r="W164" s="73">
        <f aca="true" t="shared" si="18" ref="W164:X166">W165</f>
        <v>0</v>
      </c>
      <c r="X164" s="73">
        <f t="shared" si="18"/>
        <v>0</v>
      </c>
    </row>
    <row r="165" spans="1:24" ht="27.75" customHeight="1" hidden="1">
      <c r="A165" s="30" t="s">
        <v>309</v>
      </c>
      <c r="B165" s="31" t="s">
        <v>88</v>
      </c>
      <c r="C165" s="31" t="s">
        <v>328</v>
      </c>
      <c r="D165" s="31" t="s">
        <v>310</v>
      </c>
      <c r="E165" s="31" t="s">
        <v>66</v>
      </c>
      <c r="F165" s="31"/>
      <c r="G165" s="75">
        <f t="shared" si="17"/>
        <v>0</v>
      </c>
      <c r="H165" s="75">
        <f aca="true" t="shared" si="19" ref="H165:K166">H166</f>
        <v>0</v>
      </c>
      <c r="I165" s="75">
        <f t="shared" si="19"/>
        <v>0</v>
      </c>
      <c r="J165" s="75">
        <f t="shared" si="19"/>
        <v>0</v>
      </c>
      <c r="K165" s="75">
        <f t="shared" si="19"/>
        <v>0</v>
      </c>
      <c r="W165" s="75">
        <f t="shared" si="18"/>
        <v>0</v>
      </c>
      <c r="X165" s="75">
        <f t="shared" si="18"/>
        <v>0</v>
      </c>
    </row>
    <row r="166" spans="1:24" ht="27" customHeight="1" hidden="1">
      <c r="A166" s="35" t="s">
        <v>311</v>
      </c>
      <c r="B166" s="34" t="s">
        <v>88</v>
      </c>
      <c r="C166" s="34" t="s">
        <v>328</v>
      </c>
      <c r="D166" s="34" t="s">
        <v>313</v>
      </c>
      <c r="E166" s="34" t="s">
        <v>110</v>
      </c>
      <c r="F166" s="34"/>
      <c r="G166" s="71">
        <f t="shared" si="17"/>
        <v>0</v>
      </c>
      <c r="H166" s="71">
        <f t="shared" si="19"/>
        <v>0</v>
      </c>
      <c r="I166" s="71">
        <f t="shared" si="19"/>
        <v>0</v>
      </c>
      <c r="J166" s="71">
        <f t="shared" si="19"/>
        <v>0</v>
      </c>
      <c r="K166" s="71">
        <f t="shared" si="19"/>
        <v>0</v>
      </c>
      <c r="W166" s="71">
        <f t="shared" si="18"/>
        <v>0</v>
      </c>
      <c r="X166" s="71">
        <f t="shared" si="18"/>
        <v>0</v>
      </c>
    </row>
    <row r="167" spans="1:24" ht="15" customHeight="1" hidden="1">
      <c r="A167" s="26" t="s">
        <v>30</v>
      </c>
      <c r="B167" s="32" t="s">
        <v>88</v>
      </c>
      <c r="C167" s="32" t="s">
        <v>328</v>
      </c>
      <c r="D167" s="32" t="s">
        <v>313</v>
      </c>
      <c r="E167" s="32" t="s">
        <v>109</v>
      </c>
      <c r="F167" s="32" t="s">
        <v>52</v>
      </c>
      <c r="G167" s="71">
        <f t="shared" si="17"/>
        <v>0</v>
      </c>
      <c r="H167" s="74">
        <f>99-99</f>
        <v>0</v>
      </c>
      <c r="I167" s="74">
        <f>99-3.69864-95.30136</f>
        <v>0</v>
      </c>
      <c r="J167" s="74">
        <f>95.30136-95.30136</f>
        <v>0</v>
      </c>
      <c r="K167" s="74">
        <v>0</v>
      </c>
      <c r="W167" s="74">
        <f>95.30136-95.30136</f>
        <v>0</v>
      </c>
      <c r="X167" s="74">
        <v>0</v>
      </c>
    </row>
    <row r="168" spans="1:24" ht="15" customHeight="1" hidden="1">
      <c r="A168" s="35"/>
      <c r="B168" s="32"/>
      <c r="C168" s="32"/>
      <c r="D168" s="32"/>
      <c r="E168" s="32"/>
      <c r="F168" s="32"/>
      <c r="G168" s="71">
        <f t="shared" si="17"/>
        <v>0</v>
      </c>
      <c r="H168" s="71">
        <f>H169</f>
        <v>0</v>
      </c>
      <c r="I168" s="71">
        <f>I169</f>
        <v>0</v>
      </c>
      <c r="J168" s="71">
        <f>J169</f>
        <v>0</v>
      </c>
      <c r="K168" s="71">
        <f>K169</f>
        <v>0</v>
      </c>
      <c r="W168" s="71">
        <f>W169</f>
        <v>0</v>
      </c>
      <c r="X168" s="71">
        <f>X169</f>
        <v>0</v>
      </c>
    </row>
    <row r="169" spans="1:24" ht="15" customHeight="1" hidden="1">
      <c r="A169" s="25"/>
      <c r="B169" s="32"/>
      <c r="C169" s="32"/>
      <c r="D169" s="32"/>
      <c r="E169" s="32"/>
      <c r="F169" s="32"/>
      <c r="G169" s="74">
        <f t="shared" si="17"/>
        <v>0</v>
      </c>
      <c r="H169" s="74">
        <v>0</v>
      </c>
      <c r="I169" s="74">
        <v>0</v>
      </c>
      <c r="J169" s="74">
        <v>0</v>
      </c>
      <c r="K169" s="74">
        <v>0</v>
      </c>
      <c r="W169" s="74">
        <v>0</v>
      </c>
      <c r="X169" s="74">
        <v>0</v>
      </c>
    </row>
    <row r="170" spans="1:24" ht="15" customHeight="1">
      <c r="A170" s="38" t="s">
        <v>451</v>
      </c>
      <c r="B170" s="39" t="s">
        <v>88</v>
      </c>
      <c r="C170" s="39" t="s">
        <v>118</v>
      </c>
      <c r="D170" s="39" t="s">
        <v>173</v>
      </c>
      <c r="E170" s="39" t="s">
        <v>66</v>
      </c>
      <c r="F170" s="40"/>
      <c r="G170" s="73">
        <f t="shared" si="17"/>
        <v>12639.6</v>
      </c>
      <c r="H170" s="73">
        <f>H192+H199+H202+H221</f>
        <v>5480</v>
      </c>
      <c r="I170" s="73">
        <f>I192+I199+I202+I221</f>
        <v>744</v>
      </c>
      <c r="J170" s="73">
        <f>J192+J199+J202+J221</f>
        <v>3265.95</v>
      </c>
      <c r="K170" s="73">
        <f>K192+K199+K202+K221</f>
        <v>3149.65</v>
      </c>
      <c r="W170" s="73">
        <f>W192+W199+W202+W221</f>
        <v>11255</v>
      </c>
      <c r="X170" s="73">
        <f>X192+X199+X202+X221</f>
        <v>11255</v>
      </c>
    </row>
    <row r="171" spans="1:24" ht="36" customHeight="1" hidden="1">
      <c r="A171" s="30" t="s">
        <v>289</v>
      </c>
      <c r="B171" s="31" t="s">
        <v>88</v>
      </c>
      <c r="C171" s="31" t="s">
        <v>118</v>
      </c>
      <c r="D171" s="31" t="s">
        <v>175</v>
      </c>
      <c r="E171" s="31" t="s">
        <v>142</v>
      </c>
      <c r="F171" s="31"/>
      <c r="G171" s="75">
        <f>K171+J171+I171+H171</f>
        <v>0</v>
      </c>
      <c r="H171" s="75">
        <f>H172+H174+H180+H182+H184+H186+H176+H178+H188+H190</f>
        <v>0</v>
      </c>
      <c r="I171" s="75">
        <f>I172+I174+I180+I182+I184+I186+I176+I178+I188+I190</f>
        <v>0</v>
      </c>
      <c r="J171" s="75">
        <f>J172+J174+J180+J182+J184+J186+J176+J178+J188+J190</f>
        <v>0</v>
      </c>
      <c r="K171" s="75">
        <f>K172+K174+K180+K182+K184+K186+K176+K178+K188+K190</f>
        <v>0</v>
      </c>
      <c r="W171" s="75">
        <f>W172+W174+W180+W182+W184+W186+W176+W178+W188+W190</f>
        <v>0</v>
      </c>
      <c r="X171" s="75">
        <f>X172+X174+X180+X182+X184+X186+X176+X178+X188+X190</f>
        <v>0</v>
      </c>
    </row>
    <row r="172" spans="1:24" ht="21.75" customHeight="1" hidden="1">
      <c r="A172" s="35" t="s">
        <v>176</v>
      </c>
      <c r="B172" s="34" t="s">
        <v>88</v>
      </c>
      <c r="C172" s="34" t="s">
        <v>118</v>
      </c>
      <c r="D172" s="34" t="s">
        <v>177</v>
      </c>
      <c r="E172" s="34" t="s">
        <v>109</v>
      </c>
      <c r="F172" s="34" t="s">
        <v>47</v>
      </c>
      <c r="G172" s="71">
        <f aca="true" t="shared" si="20" ref="G172:G187">H172+I172+J172+K172</f>
        <v>0</v>
      </c>
      <c r="H172" s="71">
        <f>H173</f>
        <v>0</v>
      </c>
      <c r="I172" s="71">
        <f>I173</f>
        <v>0</v>
      </c>
      <c r="J172" s="71">
        <f>J173</f>
        <v>0</v>
      </c>
      <c r="K172" s="71">
        <f>K173</f>
        <v>0</v>
      </c>
      <c r="W172" s="71">
        <f>W173</f>
        <v>0</v>
      </c>
      <c r="X172" s="71">
        <f>X173</f>
        <v>0</v>
      </c>
    </row>
    <row r="173" spans="1:24" ht="12.75" customHeight="1" hidden="1">
      <c r="A173" s="25" t="s">
        <v>143</v>
      </c>
      <c r="B173" s="32" t="s">
        <v>88</v>
      </c>
      <c r="C173" s="32" t="s">
        <v>118</v>
      </c>
      <c r="D173" s="32" t="s">
        <v>177</v>
      </c>
      <c r="E173" s="32" t="s">
        <v>109</v>
      </c>
      <c r="F173" s="32" t="s">
        <v>51</v>
      </c>
      <c r="G173" s="74">
        <f t="shared" si="20"/>
        <v>0</v>
      </c>
      <c r="H173" s="74">
        <v>0</v>
      </c>
      <c r="I173" s="74">
        <v>0</v>
      </c>
      <c r="J173" s="74">
        <v>0</v>
      </c>
      <c r="K173" s="74">
        <v>0</v>
      </c>
      <c r="W173" s="74">
        <v>0</v>
      </c>
      <c r="X173" s="74">
        <v>0</v>
      </c>
    </row>
    <row r="174" spans="1:24" ht="36.75" customHeight="1" hidden="1">
      <c r="A174" s="35" t="s">
        <v>178</v>
      </c>
      <c r="B174" s="34" t="s">
        <v>88</v>
      </c>
      <c r="C174" s="34" t="s">
        <v>118</v>
      </c>
      <c r="D174" s="34" t="s">
        <v>179</v>
      </c>
      <c r="E174" s="34" t="s">
        <v>109</v>
      </c>
      <c r="F174" s="34" t="s">
        <v>47</v>
      </c>
      <c r="G174" s="71">
        <f t="shared" si="20"/>
        <v>0</v>
      </c>
      <c r="H174" s="71">
        <f>H175</f>
        <v>0</v>
      </c>
      <c r="I174" s="71">
        <f>I175</f>
        <v>0</v>
      </c>
      <c r="J174" s="71">
        <f>J175</f>
        <v>0</v>
      </c>
      <c r="K174" s="71">
        <f>K175</f>
        <v>0</v>
      </c>
      <c r="W174" s="71">
        <f>W175</f>
        <v>0</v>
      </c>
      <c r="X174" s="71">
        <f>X175</f>
        <v>0</v>
      </c>
    </row>
    <row r="175" spans="1:24" ht="12.75" customHeight="1" hidden="1">
      <c r="A175" s="25" t="s">
        <v>30</v>
      </c>
      <c r="B175" s="32" t="s">
        <v>88</v>
      </c>
      <c r="C175" s="32" t="s">
        <v>118</v>
      </c>
      <c r="D175" s="32" t="s">
        <v>179</v>
      </c>
      <c r="E175" s="32" t="s">
        <v>109</v>
      </c>
      <c r="F175" s="32" t="s">
        <v>52</v>
      </c>
      <c r="G175" s="74">
        <f t="shared" si="20"/>
        <v>0</v>
      </c>
      <c r="H175" s="74">
        <v>0</v>
      </c>
      <c r="I175" s="74">
        <v>0</v>
      </c>
      <c r="J175" s="74">
        <v>0</v>
      </c>
      <c r="K175" s="74">
        <v>0</v>
      </c>
      <c r="W175" s="74">
        <v>0</v>
      </c>
      <c r="X175" s="74">
        <v>0</v>
      </c>
    </row>
    <row r="176" spans="1:24" ht="24" customHeight="1" hidden="1">
      <c r="A176" s="35" t="s">
        <v>300</v>
      </c>
      <c r="B176" s="34" t="s">
        <v>88</v>
      </c>
      <c r="C176" s="34" t="s">
        <v>118</v>
      </c>
      <c r="D176" s="34" t="s">
        <v>314</v>
      </c>
      <c r="E176" s="34" t="s">
        <v>109</v>
      </c>
      <c r="F176" s="34" t="s">
        <v>47</v>
      </c>
      <c r="G176" s="71">
        <f t="shared" si="20"/>
        <v>0</v>
      </c>
      <c r="H176" s="71">
        <f>H177</f>
        <v>0</v>
      </c>
      <c r="I176" s="71">
        <f>I177</f>
        <v>0</v>
      </c>
      <c r="J176" s="71">
        <f>J177</f>
        <v>0</v>
      </c>
      <c r="K176" s="71">
        <f>K177</f>
        <v>0</v>
      </c>
      <c r="W176" s="71">
        <f>W177</f>
        <v>0</v>
      </c>
      <c r="X176" s="71">
        <f>X177</f>
        <v>0</v>
      </c>
    </row>
    <row r="177" spans="1:24" ht="12.75" customHeight="1" hidden="1">
      <c r="A177" s="25" t="s">
        <v>30</v>
      </c>
      <c r="B177" s="32" t="s">
        <v>88</v>
      </c>
      <c r="C177" s="32" t="s">
        <v>118</v>
      </c>
      <c r="D177" s="32" t="s">
        <v>314</v>
      </c>
      <c r="E177" s="32" t="s">
        <v>109</v>
      </c>
      <c r="F177" s="32" t="s">
        <v>52</v>
      </c>
      <c r="G177" s="74">
        <f t="shared" si="20"/>
        <v>0</v>
      </c>
      <c r="H177" s="74">
        <v>0</v>
      </c>
      <c r="I177" s="74">
        <v>0</v>
      </c>
      <c r="J177" s="74">
        <v>0</v>
      </c>
      <c r="K177" s="74">
        <v>0</v>
      </c>
      <c r="W177" s="74">
        <v>0</v>
      </c>
      <c r="X177" s="74">
        <v>0</v>
      </c>
    </row>
    <row r="178" spans="1:24" ht="36.75" customHeight="1" hidden="1">
      <c r="A178" s="35" t="s">
        <v>315</v>
      </c>
      <c r="B178" s="34" t="s">
        <v>88</v>
      </c>
      <c r="C178" s="34" t="s">
        <v>118</v>
      </c>
      <c r="D178" s="34" t="s">
        <v>316</v>
      </c>
      <c r="E178" s="34" t="s">
        <v>109</v>
      </c>
      <c r="F178" s="34" t="s">
        <v>47</v>
      </c>
      <c r="G178" s="71">
        <f>H178+I178+J178+K178</f>
        <v>0</v>
      </c>
      <c r="H178" s="71">
        <f>H179</f>
        <v>0</v>
      </c>
      <c r="I178" s="71">
        <f>I179</f>
        <v>0</v>
      </c>
      <c r="J178" s="71">
        <f>J179</f>
        <v>0</v>
      </c>
      <c r="K178" s="71">
        <f>K179</f>
        <v>0</v>
      </c>
      <c r="W178" s="71">
        <f>W179</f>
        <v>0</v>
      </c>
      <c r="X178" s="71">
        <f>X179</f>
        <v>0</v>
      </c>
    </row>
    <row r="179" spans="1:24" ht="12.75" customHeight="1" hidden="1">
      <c r="A179" s="25" t="s">
        <v>143</v>
      </c>
      <c r="B179" s="32" t="s">
        <v>88</v>
      </c>
      <c r="C179" s="32" t="s">
        <v>118</v>
      </c>
      <c r="D179" s="32" t="s">
        <v>316</v>
      </c>
      <c r="E179" s="32" t="s">
        <v>109</v>
      </c>
      <c r="F179" s="32" t="s">
        <v>51</v>
      </c>
      <c r="G179" s="74">
        <f>H179+I179+J179+K179</f>
        <v>0</v>
      </c>
      <c r="H179" s="74">
        <v>0</v>
      </c>
      <c r="I179" s="74">
        <v>0</v>
      </c>
      <c r="J179" s="74">
        <f>6425-6425</f>
        <v>0</v>
      </c>
      <c r="K179" s="74">
        <v>0</v>
      </c>
      <c r="W179" s="74">
        <f>6425-6425</f>
        <v>0</v>
      </c>
      <c r="X179" s="74">
        <v>0</v>
      </c>
    </row>
    <row r="180" spans="1:24" ht="36.75" customHeight="1" hidden="1">
      <c r="A180" s="35" t="s">
        <v>298</v>
      </c>
      <c r="B180" s="34" t="s">
        <v>88</v>
      </c>
      <c r="C180" s="34" t="s">
        <v>118</v>
      </c>
      <c r="D180" s="34" t="s">
        <v>299</v>
      </c>
      <c r="E180" s="34" t="s">
        <v>109</v>
      </c>
      <c r="F180" s="34" t="s">
        <v>47</v>
      </c>
      <c r="G180" s="71">
        <f t="shared" si="20"/>
        <v>0</v>
      </c>
      <c r="H180" s="71">
        <f>H181</f>
        <v>0</v>
      </c>
      <c r="I180" s="71">
        <f>I181</f>
        <v>0</v>
      </c>
      <c r="J180" s="71">
        <f>J181</f>
        <v>0</v>
      </c>
      <c r="K180" s="71">
        <f>K181</f>
        <v>0</v>
      </c>
      <c r="W180" s="71">
        <f>W181</f>
        <v>0</v>
      </c>
      <c r="X180" s="71">
        <f>X181</f>
        <v>0</v>
      </c>
    </row>
    <row r="181" spans="1:24" ht="12.75" customHeight="1" hidden="1">
      <c r="A181" s="25" t="s">
        <v>21</v>
      </c>
      <c r="B181" s="32" t="s">
        <v>88</v>
      </c>
      <c r="C181" s="32" t="s">
        <v>118</v>
      </c>
      <c r="D181" s="32" t="s">
        <v>299</v>
      </c>
      <c r="E181" s="32" t="s">
        <v>109</v>
      </c>
      <c r="F181" s="32" t="s">
        <v>49</v>
      </c>
      <c r="G181" s="74">
        <f t="shared" si="20"/>
        <v>0</v>
      </c>
      <c r="H181" s="74">
        <v>0</v>
      </c>
      <c r="I181" s="74">
        <v>0</v>
      </c>
      <c r="J181" s="74">
        <f>165.01-29.81-135.2</f>
        <v>0</v>
      </c>
      <c r="K181" s="74">
        <v>0</v>
      </c>
      <c r="W181" s="74">
        <f>165.01-29.81-135.2</f>
        <v>0</v>
      </c>
      <c r="X181" s="74">
        <v>0</v>
      </c>
    </row>
    <row r="182" spans="1:24" ht="24" customHeight="1" hidden="1">
      <c r="A182" s="35" t="s">
        <v>301</v>
      </c>
      <c r="B182" s="34" t="s">
        <v>88</v>
      </c>
      <c r="C182" s="34" t="s">
        <v>118</v>
      </c>
      <c r="D182" s="34" t="s">
        <v>302</v>
      </c>
      <c r="E182" s="34" t="s">
        <v>109</v>
      </c>
      <c r="F182" s="34" t="s">
        <v>47</v>
      </c>
      <c r="G182" s="71">
        <f t="shared" si="20"/>
        <v>0</v>
      </c>
      <c r="H182" s="71">
        <f>H183</f>
        <v>0</v>
      </c>
      <c r="I182" s="71">
        <f>I183</f>
        <v>0</v>
      </c>
      <c r="J182" s="71">
        <f>J183</f>
        <v>0</v>
      </c>
      <c r="K182" s="71">
        <f>K183</f>
        <v>0</v>
      </c>
      <c r="W182" s="71">
        <f>W183</f>
        <v>0</v>
      </c>
      <c r="X182" s="71">
        <f>X183</f>
        <v>0</v>
      </c>
    </row>
    <row r="183" spans="1:24" ht="12.75" customHeight="1" hidden="1">
      <c r="A183" s="25" t="s">
        <v>30</v>
      </c>
      <c r="B183" s="32" t="s">
        <v>88</v>
      </c>
      <c r="C183" s="32" t="s">
        <v>118</v>
      </c>
      <c r="D183" s="32" t="s">
        <v>302</v>
      </c>
      <c r="E183" s="32" t="s">
        <v>109</v>
      </c>
      <c r="F183" s="32" t="s">
        <v>52</v>
      </c>
      <c r="G183" s="74">
        <f t="shared" si="20"/>
        <v>0</v>
      </c>
      <c r="H183" s="74">
        <v>0</v>
      </c>
      <c r="I183" s="74">
        <v>0</v>
      </c>
      <c r="J183" s="74">
        <v>0</v>
      </c>
      <c r="K183" s="74">
        <v>0</v>
      </c>
      <c r="W183" s="74">
        <v>0</v>
      </c>
      <c r="X183" s="74">
        <v>0</v>
      </c>
    </row>
    <row r="184" spans="1:24" ht="39" customHeight="1" hidden="1">
      <c r="A184" s="35" t="s">
        <v>303</v>
      </c>
      <c r="B184" s="34" t="s">
        <v>88</v>
      </c>
      <c r="C184" s="34" t="s">
        <v>118</v>
      </c>
      <c r="D184" s="34" t="s">
        <v>304</v>
      </c>
      <c r="E184" s="34" t="s">
        <v>109</v>
      </c>
      <c r="F184" s="34" t="s">
        <v>47</v>
      </c>
      <c r="G184" s="71">
        <f t="shared" si="20"/>
        <v>0</v>
      </c>
      <c r="H184" s="71">
        <f>H185</f>
        <v>0</v>
      </c>
      <c r="I184" s="71">
        <f>I185</f>
        <v>0</v>
      </c>
      <c r="J184" s="71">
        <f>J185</f>
        <v>0</v>
      </c>
      <c r="K184" s="71">
        <f>K185</f>
        <v>0</v>
      </c>
      <c r="W184" s="71">
        <f>W185</f>
        <v>0</v>
      </c>
      <c r="X184" s="71">
        <f>X185</f>
        <v>0</v>
      </c>
    </row>
    <row r="185" spans="1:24" ht="12.75" customHeight="1" hidden="1">
      <c r="A185" s="25" t="s">
        <v>30</v>
      </c>
      <c r="B185" s="32" t="s">
        <v>88</v>
      </c>
      <c r="C185" s="32" t="s">
        <v>118</v>
      </c>
      <c r="D185" s="32" t="s">
        <v>304</v>
      </c>
      <c r="E185" s="32" t="s">
        <v>109</v>
      </c>
      <c r="F185" s="32" t="s">
        <v>52</v>
      </c>
      <c r="G185" s="74">
        <f t="shared" si="20"/>
        <v>0</v>
      </c>
      <c r="H185" s="74">
        <v>0</v>
      </c>
      <c r="I185" s="74">
        <v>0</v>
      </c>
      <c r="J185" s="74">
        <f>75-75</f>
        <v>0</v>
      </c>
      <c r="K185" s="74">
        <v>0</v>
      </c>
      <c r="W185" s="74">
        <f>75-75</f>
        <v>0</v>
      </c>
      <c r="X185" s="74">
        <v>0</v>
      </c>
    </row>
    <row r="186" spans="1:24" ht="22.5" customHeight="1" hidden="1">
      <c r="A186" s="35" t="s">
        <v>305</v>
      </c>
      <c r="B186" s="34" t="s">
        <v>88</v>
      </c>
      <c r="C186" s="34" t="s">
        <v>118</v>
      </c>
      <c r="D186" s="34" t="s">
        <v>306</v>
      </c>
      <c r="E186" s="34" t="s">
        <v>109</v>
      </c>
      <c r="F186" s="34" t="s">
        <v>47</v>
      </c>
      <c r="G186" s="71">
        <f t="shared" si="20"/>
        <v>0</v>
      </c>
      <c r="H186" s="71">
        <f>H187</f>
        <v>0</v>
      </c>
      <c r="I186" s="71">
        <f>I187</f>
        <v>0</v>
      </c>
      <c r="J186" s="71">
        <f>J187</f>
        <v>0</v>
      </c>
      <c r="K186" s="71">
        <f>K187</f>
        <v>0</v>
      </c>
      <c r="W186" s="71">
        <f>W187</f>
        <v>0</v>
      </c>
      <c r="X186" s="71">
        <f>X187</f>
        <v>0</v>
      </c>
    </row>
    <row r="187" spans="1:24" ht="12.75" customHeight="1" hidden="1">
      <c r="A187" s="25" t="s">
        <v>30</v>
      </c>
      <c r="B187" s="32" t="s">
        <v>88</v>
      </c>
      <c r="C187" s="32" t="s">
        <v>118</v>
      </c>
      <c r="D187" s="32" t="s">
        <v>306</v>
      </c>
      <c r="E187" s="32" t="s">
        <v>109</v>
      </c>
      <c r="F187" s="32" t="s">
        <v>52</v>
      </c>
      <c r="G187" s="74">
        <f t="shared" si="20"/>
        <v>0</v>
      </c>
      <c r="H187" s="74">
        <v>0</v>
      </c>
      <c r="I187" s="74">
        <v>0</v>
      </c>
      <c r="J187" s="74">
        <f>116-116</f>
        <v>0</v>
      </c>
      <c r="K187" s="74">
        <v>0</v>
      </c>
      <c r="W187" s="74">
        <f>116-116</f>
        <v>0</v>
      </c>
      <c r="X187" s="74">
        <v>0</v>
      </c>
    </row>
    <row r="188" spans="1:24" ht="50.25" customHeight="1" hidden="1">
      <c r="A188" s="35" t="s">
        <v>329</v>
      </c>
      <c r="B188" s="34" t="s">
        <v>88</v>
      </c>
      <c r="C188" s="34" t="s">
        <v>118</v>
      </c>
      <c r="D188" s="34" t="s">
        <v>330</v>
      </c>
      <c r="E188" s="34" t="s">
        <v>109</v>
      </c>
      <c r="F188" s="34" t="s">
        <v>47</v>
      </c>
      <c r="G188" s="71">
        <f>H188+I188+J188+K188</f>
        <v>0</v>
      </c>
      <c r="H188" s="71">
        <f>H189</f>
        <v>0</v>
      </c>
      <c r="I188" s="71">
        <f>I189</f>
        <v>0</v>
      </c>
      <c r="J188" s="71">
        <f>J189</f>
        <v>0</v>
      </c>
      <c r="K188" s="71">
        <f>K189</f>
        <v>0</v>
      </c>
      <c r="W188" s="71">
        <f>W189</f>
        <v>0</v>
      </c>
      <c r="X188" s="71">
        <f>X189</f>
        <v>0</v>
      </c>
    </row>
    <row r="189" spans="1:24" ht="12.75" customHeight="1" hidden="1">
      <c r="A189" s="25" t="s">
        <v>143</v>
      </c>
      <c r="B189" s="32" t="s">
        <v>88</v>
      </c>
      <c r="C189" s="32" t="s">
        <v>118</v>
      </c>
      <c r="D189" s="32" t="s">
        <v>330</v>
      </c>
      <c r="E189" s="32" t="s">
        <v>109</v>
      </c>
      <c r="F189" s="32" t="s">
        <v>51</v>
      </c>
      <c r="G189" s="74">
        <f>H189+I189+J189+K189</f>
        <v>0</v>
      </c>
      <c r="H189" s="74">
        <v>0</v>
      </c>
      <c r="I189" s="74">
        <v>0</v>
      </c>
      <c r="J189" s="74">
        <v>0</v>
      </c>
      <c r="K189" s="74">
        <v>0</v>
      </c>
      <c r="W189" s="74">
        <v>0</v>
      </c>
      <c r="X189" s="74">
        <v>0</v>
      </c>
    </row>
    <row r="190" spans="1:24" ht="26.25" customHeight="1" hidden="1">
      <c r="A190" s="35" t="s">
        <v>348</v>
      </c>
      <c r="B190" s="34" t="s">
        <v>88</v>
      </c>
      <c r="C190" s="34" t="s">
        <v>118</v>
      </c>
      <c r="D190" s="34" t="s">
        <v>347</v>
      </c>
      <c r="E190" s="34" t="s">
        <v>109</v>
      </c>
      <c r="F190" s="34" t="s">
        <v>47</v>
      </c>
      <c r="G190" s="71">
        <f>H190+I190+J190+K190</f>
        <v>0</v>
      </c>
      <c r="H190" s="71">
        <f>H191</f>
        <v>0</v>
      </c>
      <c r="I190" s="71">
        <f>I191</f>
        <v>0</v>
      </c>
      <c r="J190" s="71">
        <f>J191</f>
        <v>0</v>
      </c>
      <c r="K190" s="71">
        <f>K191</f>
        <v>0</v>
      </c>
      <c r="W190" s="71">
        <f>W191</f>
        <v>0</v>
      </c>
      <c r="X190" s="71">
        <f>X191</f>
        <v>0</v>
      </c>
    </row>
    <row r="191" spans="1:24" ht="12.75" customHeight="1" hidden="1">
      <c r="A191" s="25" t="s">
        <v>143</v>
      </c>
      <c r="B191" s="32" t="s">
        <v>88</v>
      </c>
      <c r="C191" s="32" t="s">
        <v>118</v>
      </c>
      <c r="D191" s="32" t="s">
        <v>347</v>
      </c>
      <c r="E191" s="32" t="s">
        <v>109</v>
      </c>
      <c r="F191" s="32" t="s">
        <v>52</v>
      </c>
      <c r="G191" s="74">
        <f>H191+I191+J191+K191</f>
        <v>0</v>
      </c>
      <c r="H191" s="74">
        <v>0</v>
      </c>
      <c r="I191" s="74">
        <v>0</v>
      </c>
      <c r="J191" s="74">
        <v>0</v>
      </c>
      <c r="K191" s="74">
        <v>0</v>
      </c>
      <c r="W191" s="74">
        <v>0</v>
      </c>
      <c r="X191" s="74">
        <v>0</v>
      </c>
    </row>
    <row r="192" spans="1:24" ht="38.25" customHeight="1">
      <c r="A192" s="30" t="s">
        <v>458</v>
      </c>
      <c r="B192" s="31" t="s">
        <v>88</v>
      </c>
      <c r="C192" s="31" t="s">
        <v>118</v>
      </c>
      <c r="D192" s="31" t="s">
        <v>181</v>
      </c>
      <c r="E192" s="31" t="s">
        <v>142</v>
      </c>
      <c r="F192" s="31"/>
      <c r="G192" s="75">
        <f>G193+G197</f>
        <v>4000</v>
      </c>
      <c r="H192" s="75">
        <f>H193+H197+H195</f>
        <v>480</v>
      </c>
      <c r="I192" s="75">
        <f>I193+I197+I195</f>
        <v>300</v>
      </c>
      <c r="J192" s="75">
        <f>J193+J197+J195</f>
        <v>740</v>
      </c>
      <c r="K192" s="75">
        <f>K193+K197+K195</f>
        <v>2480</v>
      </c>
      <c r="W192" s="75">
        <f>W193+W197+W195</f>
        <v>4000</v>
      </c>
      <c r="X192" s="75">
        <f>X193+X197+X195</f>
        <v>4000</v>
      </c>
    </row>
    <row r="193" spans="1:24" ht="78.75" customHeight="1">
      <c r="A193" s="35" t="s">
        <v>180</v>
      </c>
      <c r="B193" s="34" t="s">
        <v>88</v>
      </c>
      <c r="C193" s="34" t="s">
        <v>118</v>
      </c>
      <c r="D193" s="34" t="s">
        <v>182</v>
      </c>
      <c r="E193" s="34" t="s">
        <v>109</v>
      </c>
      <c r="F193" s="34"/>
      <c r="G193" s="71">
        <f>G194</f>
        <v>4000</v>
      </c>
      <c r="H193" s="71">
        <f>H194</f>
        <v>480</v>
      </c>
      <c r="I193" s="71">
        <f>I194</f>
        <v>300</v>
      </c>
      <c r="J193" s="71">
        <f>J194</f>
        <v>740</v>
      </c>
      <c r="K193" s="71">
        <f>K194</f>
        <v>2480</v>
      </c>
      <c r="W193" s="71">
        <f>W194</f>
        <v>4000</v>
      </c>
      <c r="X193" s="71">
        <f>X194</f>
        <v>4000</v>
      </c>
    </row>
    <row r="194" spans="1:24" ht="14.25" customHeight="1">
      <c r="A194" s="25" t="s">
        <v>143</v>
      </c>
      <c r="B194" s="32" t="s">
        <v>88</v>
      </c>
      <c r="C194" s="32" t="s">
        <v>118</v>
      </c>
      <c r="D194" s="32" t="s">
        <v>182</v>
      </c>
      <c r="E194" s="32" t="s">
        <v>109</v>
      </c>
      <c r="F194" s="32" t="s">
        <v>51</v>
      </c>
      <c r="G194" s="74">
        <f>H194+I194+J194+K194</f>
        <v>4000</v>
      </c>
      <c r="H194" s="74">
        <f>1680-1200</f>
        <v>480</v>
      </c>
      <c r="I194" s="74">
        <f>440+200-300-40</f>
        <v>300</v>
      </c>
      <c r="J194" s="74">
        <f>400+300+40</f>
        <v>740</v>
      </c>
      <c r="K194" s="74">
        <f>1480+1000</f>
        <v>2480</v>
      </c>
      <c r="W194" s="74">
        <v>4000</v>
      </c>
      <c r="X194" s="74">
        <v>4000</v>
      </c>
    </row>
    <row r="195" spans="1:24" ht="88.5" customHeight="1" hidden="1">
      <c r="A195" s="35" t="s">
        <v>432</v>
      </c>
      <c r="B195" s="34" t="s">
        <v>88</v>
      </c>
      <c r="C195" s="34" t="s">
        <v>118</v>
      </c>
      <c r="D195" s="34" t="s">
        <v>182</v>
      </c>
      <c r="E195" s="34" t="s">
        <v>145</v>
      </c>
      <c r="F195" s="34"/>
      <c r="G195" s="71">
        <f>G196</f>
        <v>0</v>
      </c>
      <c r="H195" s="71">
        <f>H196</f>
        <v>0</v>
      </c>
      <c r="I195" s="71">
        <f>I196</f>
        <v>0</v>
      </c>
      <c r="J195" s="71">
        <f>J196</f>
        <v>0</v>
      </c>
      <c r="K195" s="71">
        <f>K196</f>
        <v>0</v>
      </c>
      <c r="W195" s="71">
        <f>W196</f>
        <v>0</v>
      </c>
      <c r="X195" s="71">
        <f>X196</f>
        <v>0</v>
      </c>
    </row>
    <row r="196" spans="1:24" ht="14.25" customHeight="1" hidden="1">
      <c r="A196" s="25" t="s">
        <v>143</v>
      </c>
      <c r="B196" s="32" t="s">
        <v>88</v>
      </c>
      <c r="C196" s="32" t="s">
        <v>118</v>
      </c>
      <c r="D196" s="32" t="s">
        <v>182</v>
      </c>
      <c r="E196" s="32" t="s">
        <v>325</v>
      </c>
      <c r="F196" s="32" t="s">
        <v>53</v>
      </c>
      <c r="G196" s="74">
        <f>H196+I196+J196+K196</f>
        <v>0</v>
      </c>
      <c r="H196" s="74">
        <v>0</v>
      </c>
      <c r="I196" s="74">
        <v>0</v>
      </c>
      <c r="J196" s="74">
        <v>0</v>
      </c>
      <c r="K196" s="74">
        <f>253.22-253.22</f>
        <v>0</v>
      </c>
      <c r="W196" s="74">
        <v>0</v>
      </c>
      <c r="X196" s="74">
        <f>253.22-253.22</f>
        <v>0</v>
      </c>
    </row>
    <row r="197" spans="1:24" ht="25.5" customHeight="1" hidden="1">
      <c r="A197" s="25" t="s">
        <v>354</v>
      </c>
      <c r="B197" s="34" t="s">
        <v>88</v>
      </c>
      <c r="C197" s="34" t="s">
        <v>118</v>
      </c>
      <c r="D197" s="34" t="s">
        <v>355</v>
      </c>
      <c r="E197" s="34" t="s">
        <v>109</v>
      </c>
      <c r="F197" s="34" t="s">
        <v>47</v>
      </c>
      <c r="G197" s="71">
        <f>G198</f>
        <v>0</v>
      </c>
      <c r="H197" s="71">
        <f>H198</f>
        <v>0</v>
      </c>
      <c r="I197" s="71">
        <f>I198</f>
        <v>0</v>
      </c>
      <c r="J197" s="71">
        <f>J198</f>
        <v>0</v>
      </c>
      <c r="K197" s="71">
        <f>K198</f>
        <v>0</v>
      </c>
      <c r="W197" s="71">
        <f>W198</f>
        <v>0</v>
      </c>
      <c r="X197" s="71">
        <f>X198</f>
        <v>0</v>
      </c>
    </row>
    <row r="198" spans="1:24" ht="19.5" customHeight="1" hidden="1">
      <c r="A198" s="25" t="s">
        <v>143</v>
      </c>
      <c r="B198" s="32" t="s">
        <v>88</v>
      </c>
      <c r="C198" s="32" t="s">
        <v>118</v>
      </c>
      <c r="D198" s="32" t="s">
        <v>355</v>
      </c>
      <c r="E198" s="32" t="s">
        <v>109</v>
      </c>
      <c r="F198" s="32" t="s">
        <v>51</v>
      </c>
      <c r="G198" s="74">
        <f>H198+I198+J198+K198</f>
        <v>0</v>
      </c>
      <c r="H198" s="74">
        <v>0</v>
      </c>
      <c r="I198" s="74">
        <f>200-200</f>
        <v>0</v>
      </c>
      <c r="J198" s="74">
        <f>300+200-500</f>
        <v>0</v>
      </c>
      <c r="K198" s="74"/>
      <c r="W198" s="74">
        <f>300+200-500</f>
        <v>0</v>
      </c>
      <c r="X198" s="74"/>
    </row>
    <row r="199" spans="1:24" ht="30.75" customHeight="1" hidden="1">
      <c r="A199" s="30" t="s">
        <v>412</v>
      </c>
      <c r="B199" s="31" t="s">
        <v>88</v>
      </c>
      <c r="C199" s="31" t="s">
        <v>118</v>
      </c>
      <c r="D199" s="31" t="s">
        <v>310</v>
      </c>
      <c r="E199" s="31"/>
      <c r="F199" s="32"/>
      <c r="G199" s="75">
        <f>H199+I199+J199+K199</f>
        <v>0</v>
      </c>
      <c r="H199" s="75">
        <f aca="true" t="shared" si="21" ref="H199:K200">H200</f>
        <v>0</v>
      </c>
      <c r="I199" s="75">
        <f t="shared" si="21"/>
        <v>0</v>
      </c>
      <c r="J199" s="75">
        <f t="shared" si="21"/>
        <v>0</v>
      </c>
      <c r="K199" s="75">
        <f t="shared" si="21"/>
        <v>0</v>
      </c>
      <c r="W199" s="75">
        <f>W200</f>
        <v>0</v>
      </c>
      <c r="X199" s="75">
        <f>X200</f>
        <v>0</v>
      </c>
    </row>
    <row r="200" spans="1:24" ht="19.5" customHeight="1" hidden="1">
      <c r="A200" s="35" t="s">
        <v>411</v>
      </c>
      <c r="B200" s="32" t="s">
        <v>88</v>
      </c>
      <c r="C200" s="32" t="s">
        <v>118</v>
      </c>
      <c r="D200" s="32" t="s">
        <v>410</v>
      </c>
      <c r="E200" s="32" t="s">
        <v>110</v>
      </c>
      <c r="F200" s="32"/>
      <c r="G200" s="71">
        <f>H200+I200+J200+K200</f>
        <v>0</v>
      </c>
      <c r="H200" s="71">
        <f t="shared" si="21"/>
        <v>0</v>
      </c>
      <c r="I200" s="71">
        <f t="shared" si="21"/>
        <v>0</v>
      </c>
      <c r="J200" s="71">
        <f t="shared" si="21"/>
        <v>0</v>
      </c>
      <c r="K200" s="71">
        <f t="shared" si="21"/>
        <v>0</v>
      </c>
      <c r="W200" s="71">
        <f>W201</f>
        <v>0</v>
      </c>
      <c r="X200" s="71">
        <f>X201</f>
        <v>0</v>
      </c>
    </row>
    <row r="201" spans="1:24" ht="19.5" customHeight="1" hidden="1">
      <c r="A201" s="25" t="s">
        <v>34</v>
      </c>
      <c r="B201" s="32" t="s">
        <v>88</v>
      </c>
      <c r="C201" s="32" t="s">
        <v>118</v>
      </c>
      <c r="D201" s="32" t="s">
        <v>410</v>
      </c>
      <c r="E201" s="32" t="s">
        <v>109</v>
      </c>
      <c r="F201" s="32" t="s">
        <v>56</v>
      </c>
      <c r="G201" s="74">
        <f>H201+I201+J201+K201</f>
        <v>0</v>
      </c>
      <c r="H201" s="74">
        <v>0</v>
      </c>
      <c r="I201" s="74">
        <f>2049.3-2049.3</f>
        <v>0</v>
      </c>
      <c r="J201" s="74"/>
      <c r="K201" s="74">
        <v>0</v>
      </c>
      <c r="W201" s="74"/>
      <c r="X201" s="74">
        <v>0</v>
      </c>
    </row>
    <row r="202" spans="1:24" ht="42.75" customHeight="1">
      <c r="A202" s="30" t="s">
        <v>463</v>
      </c>
      <c r="B202" s="31" t="s">
        <v>88</v>
      </c>
      <c r="C202" s="31" t="s">
        <v>118</v>
      </c>
      <c r="D202" s="31" t="s">
        <v>475</v>
      </c>
      <c r="E202" s="31" t="s">
        <v>142</v>
      </c>
      <c r="F202" s="31"/>
      <c r="G202" s="75">
        <f>H202+I202+J202+K202</f>
        <v>7839.599999999999</v>
      </c>
      <c r="H202" s="75">
        <f>H203+H205+H207+H211+H213+H209+H215+H217</f>
        <v>5000</v>
      </c>
      <c r="I202" s="75">
        <f>I203+I205+I207+I211+I213+I209+I215+I217</f>
        <v>444</v>
      </c>
      <c r="J202" s="75">
        <f>J203+J205+J207+J211+J213+J209+J215+J217</f>
        <v>1725.9499999999998</v>
      </c>
      <c r="K202" s="75">
        <f>K203+K205+K207+K211+K213+K209+K215+K217</f>
        <v>669.65</v>
      </c>
      <c r="W202" s="75">
        <f>W203+W205+W207+W211+W213+W209+W215+W217</f>
        <v>7255</v>
      </c>
      <c r="X202" s="75">
        <f>X203+X205+X207+X211+X213+X209+X215+X217</f>
        <v>7255</v>
      </c>
    </row>
    <row r="203" spans="1:24" ht="38.25" customHeight="1">
      <c r="A203" s="35" t="s">
        <v>176</v>
      </c>
      <c r="B203" s="34" t="s">
        <v>88</v>
      </c>
      <c r="C203" s="34" t="s">
        <v>118</v>
      </c>
      <c r="D203" s="34" t="s">
        <v>474</v>
      </c>
      <c r="E203" s="34" t="s">
        <v>109</v>
      </c>
      <c r="F203" s="34" t="s">
        <v>47</v>
      </c>
      <c r="G203" s="71">
        <f>G204</f>
        <v>2839.6</v>
      </c>
      <c r="H203" s="83">
        <f>H204</f>
        <v>0</v>
      </c>
      <c r="I203" s="71">
        <f>I204</f>
        <v>444</v>
      </c>
      <c r="J203" s="71">
        <f>J204</f>
        <v>1725.9499999999998</v>
      </c>
      <c r="K203" s="71">
        <f>K204</f>
        <v>669.65</v>
      </c>
      <c r="W203" s="71">
        <f>W204</f>
        <v>7148</v>
      </c>
      <c r="X203" s="71">
        <f>X204</f>
        <v>7148</v>
      </c>
    </row>
    <row r="204" spans="1:24" ht="16.5" customHeight="1">
      <c r="A204" s="25" t="s">
        <v>143</v>
      </c>
      <c r="B204" s="32" t="s">
        <v>88</v>
      </c>
      <c r="C204" s="32" t="s">
        <v>118</v>
      </c>
      <c r="D204" s="34" t="s">
        <v>474</v>
      </c>
      <c r="E204" s="32" t="s">
        <v>109</v>
      </c>
      <c r="F204" s="32" t="s">
        <v>51</v>
      </c>
      <c r="G204" s="74">
        <f>H204+I204+J204+K204</f>
        <v>2839.6</v>
      </c>
      <c r="H204" s="84">
        <v>0</v>
      </c>
      <c r="I204" s="74">
        <f>444</f>
        <v>444</v>
      </c>
      <c r="J204" s="74">
        <f>1700.6+195-669.65+500</f>
        <v>1725.9499999999998</v>
      </c>
      <c r="K204" s="74">
        <v>669.65</v>
      </c>
      <c r="W204" s="74">
        <v>7148</v>
      </c>
      <c r="X204" s="74">
        <v>7148</v>
      </c>
    </row>
    <row r="205" spans="1:24" ht="51.75" customHeight="1">
      <c r="A205" s="25" t="s">
        <v>178</v>
      </c>
      <c r="B205" s="34" t="s">
        <v>88</v>
      </c>
      <c r="C205" s="34" t="s">
        <v>118</v>
      </c>
      <c r="D205" s="34" t="s">
        <v>356</v>
      </c>
      <c r="E205" s="34" t="s">
        <v>109</v>
      </c>
      <c r="F205" s="34" t="s">
        <v>47</v>
      </c>
      <c r="G205" s="71">
        <f>G206</f>
        <v>0</v>
      </c>
      <c r="H205" s="71">
        <f>H206</f>
        <v>0</v>
      </c>
      <c r="I205" s="71">
        <f>I206</f>
        <v>0</v>
      </c>
      <c r="J205" s="71">
        <f>J206</f>
        <v>0</v>
      </c>
      <c r="K205" s="71">
        <f>K206</f>
        <v>0</v>
      </c>
      <c r="W205" s="71">
        <f>W206</f>
        <v>107</v>
      </c>
      <c r="X205" s="71">
        <f>X206</f>
        <v>107</v>
      </c>
    </row>
    <row r="206" spans="1:24" ht="18" customHeight="1">
      <c r="A206" s="25" t="s">
        <v>143</v>
      </c>
      <c r="B206" s="32" t="s">
        <v>88</v>
      </c>
      <c r="C206" s="32" t="s">
        <v>118</v>
      </c>
      <c r="D206" s="34" t="s">
        <v>356</v>
      </c>
      <c r="E206" s="32" t="s">
        <v>109</v>
      </c>
      <c r="F206" s="32" t="s">
        <v>52</v>
      </c>
      <c r="G206" s="74">
        <f>H206+I206+J206+K206</f>
        <v>0</v>
      </c>
      <c r="H206" s="74">
        <v>0</v>
      </c>
      <c r="I206" s="74">
        <f>13+10.7+85.6+18.2-127.5</f>
        <v>0</v>
      </c>
      <c r="J206" s="74">
        <v>0</v>
      </c>
      <c r="K206" s="74">
        <v>0</v>
      </c>
      <c r="W206" s="74">
        <v>107</v>
      </c>
      <c r="X206" s="74">
        <v>107</v>
      </c>
    </row>
    <row r="207" spans="1:24" ht="28.5" customHeight="1" hidden="1">
      <c r="A207" s="25" t="s">
        <v>348</v>
      </c>
      <c r="B207" s="34" t="s">
        <v>88</v>
      </c>
      <c r="C207" s="34" t="s">
        <v>118</v>
      </c>
      <c r="D207" s="34" t="s">
        <v>364</v>
      </c>
      <c r="E207" s="34" t="s">
        <v>109</v>
      </c>
      <c r="F207" s="34" t="s">
        <v>47</v>
      </c>
      <c r="G207" s="71">
        <f>G208</f>
        <v>0</v>
      </c>
      <c r="H207" s="71">
        <f>H208</f>
        <v>0</v>
      </c>
      <c r="I207" s="71">
        <f>I208</f>
        <v>0</v>
      </c>
      <c r="J207" s="71">
        <f>J208</f>
        <v>0</v>
      </c>
      <c r="K207" s="71">
        <f>K208</f>
        <v>0</v>
      </c>
      <c r="W207" s="71">
        <f>W208</f>
        <v>0</v>
      </c>
      <c r="X207" s="71">
        <f>X208</f>
        <v>0</v>
      </c>
    </row>
    <row r="208" spans="1:24" ht="18" customHeight="1" hidden="1">
      <c r="A208" s="25" t="s">
        <v>143</v>
      </c>
      <c r="B208" s="32" t="s">
        <v>88</v>
      </c>
      <c r="C208" s="32" t="s">
        <v>118</v>
      </c>
      <c r="D208" s="34" t="s">
        <v>364</v>
      </c>
      <c r="E208" s="32" t="s">
        <v>109</v>
      </c>
      <c r="F208" s="32" t="s">
        <v>51</v>
      </c>
      <c r="G208" s="74">
        <f>H208+I208+J208+K208</f>
        <v>0</v>
      </c>
      <c r="H208" s="71">
        <f>350-350</f>
        <v>0</v>
      </c>
      <c r="I208" s="74">
        <f>350+15-365</f>
        <v>0</v>
      </c>
      <c r="J208" s="71"/>
      <c r="K208" s="71"/>
      <c r="W208" s="71"/>
      <c r="X208" s="71"/>
    </row>
    <row r="209" spans="1:24" ht="39" customHeight="1" hidden="1">
      <c r="A209" s="25" t="s">
        <v>407</v>
      </c>
      <c r="B209" s="34" t="s">
        <v>88</v>
      </c>
      <c r="C209" s="34" t="s">
        <v>118</v>
      </c>
      <c r="D209" s="34" t="s">
        <v>408</v>
      </c>
      <c r="E209" s="34" t="s">
        <v>109</v>
      </c>
      <c r="F209" s="34" t="s">
        <v>47</v>
      </c>
      <c r="G209" s="71">
        <f>G210</f>
        <v>0</v>
      </c>
      <c r="H209" s="71">
        <f>H210</f>
        <v>0</v>
      </c>
      <c r="I209" s="71">
        <f>I210</f>
        <v>0</v>
      </c>
      <c r="J209" s="71">
        <f>J210</f>
        <v>0</v>
      </c>
      <c r="K209" s="71">
        <f>K210</f>
        <v>0</v>
      </c>
      <c r="W209" s="71">
        <f>W210</f>
        <v>0</v>
      </c>
      <c r="X209" s="71">
        <f>X210</f>
        <v>0</v>
      </c>
    </row>
    <row r="210" spans="1:24" ht="18" customHeight="1" hidden="1">
      <c r="A210" s="25" t="s">
        <v>143</v>
      </c>
      <c r="B210" s="32" t="s">
        <v>88</v>
      </c>
      <c r="C210" s="32" t="s">
        <v>118</v>
      </c>
      <c r="D210" s="34" t="s">
        <v>408</v>
      </c>
      <c r="E210" s="32" t="s">
        <v>109</v>
      </c>
      <c r="F210" s="32" t="s">
        <v>51</v>
      </c>
      <c r="G210" s="74">
        <f>H210+I210+J210+K210</f>
        <v>0</v>
      </c>
      <c r="H210" s="71">
        <f>350-350</f>
        <v>0</v>
      </c>
      <c r="I210" s="74">
        <f>499.76-499.76</f>
        <v>0</v>
      </c>
      <c r="J210" s="71"/>
      <c r="K210" s="71">
        <v>0</v>
      </c>
      <c r="W210" s="71"/>
      <c r="X210" s="71">
        <v>0</v>
      </c>
    </row>
    <row r="211" spans="1:24" ht="57" customHeight="1">
      <c r="A211" s="25" t="s">
        <v>315</v>
      </c>
      <c r="B211" s="32" t="s">
        <v>88</v>
      </c>
      <c r="C211" s="32" t="s">
        <v>118</v>
      </c>
      <c r="D211" s="34" t="s">
        <v>382</v>
      </c>
      <c r="E211" s="32" t="s">
        <v>109</v>
      </c>
      <c r="F211" s="32" t="s">
        <v>47</v>
      </c>
      <c r="G211" s="71">
        <f>G212</f>
        <v>5000</v>
      </c>
      <c r="H211" s="71">
        <f>H212</f>
        <v>5000</v>
      </c>
      <c r="I211" s="71">
        <f>I212</f>
        <v>0</v>
      </c>
      <c r="J211" s="71">
        <f>J212</f>
        <v>0</v>
      </c>
      <c r="K211" s="71">
        <f>K212</f>
        <v>0</v>
      </c>
      <c r="W211" s="71">
        <f>W212</f>
        <v>0</v>
      </c>
      <c r="X211" s="71">
        <f>X212</f>
        <v>0</v>
      </c>
    </row>
    <row r="212" spans="1:24" ht="18" customHeight="1">
      <c r="A212" s="25" t="s">
        <v>143</v>
      </c>
      <c r="B212" s="32" t="s">
        <v>88</v>
      </c>
      <c r="C212" s="32" t="s">
        <v>118</v>
      </c>
      <c r="D212" s="34" t="s">
        <v>382</v>
      </c>
      <c r="E212" s="32" t="s">
        <v>109</v>
      </c>
      <c r="F212" s="32" t="s">
        <v>51</v>
      </c>
      <c r="G212" s="74">
        <f>H212+I212+J212+K212</f>
        <v>5000</v>
      </c>
      <c r="H212" s="74">
        <v>5000</v>
      </c>
      <c r="I212" s="74">
        <f>5000-5000</f>
        <v>0</v>
      </c>
      <c r="J212" s="71">
        <v>0</v>
      </c>
      <c r="K212" s="71">
        <v>0</v>
      </c>
      <c r="R212" s="14" t="s">
        <v>444</v>
      </c>
      <c r="W212" s="71">
        <v>0</v>
      </c>
      <c r="X212" s="71">
        <v>0</v>
      </c>
    </row>
    <row r="213" spans="1:24" ht="45" customHeight="1" hidden="1">
      <c r="A213" s="25" t="s">
        <v>397</v>
      </c>
      <c r="B213" s="32" t="s">
        <v>88</v>
      </c>
      <c r="C213" s="32" t="s">
        <v>118</v>
      </c>
      <c r="D213" s="34" t="s">
        <v>396</v>
      </c>
      <c r="E213" s="32" t="s">
        <v>109</v>
      </c>
      <c r="F213" s="32" t="s">
        <v>47</v>
      </c>
      <c r="G213" s="71">
        <f>G214</f>
        <v>0</v>
      </c>
      <c r="H213" s="71">
        <f>H214</f>
        <v>0</v>
      </c>
      <c r="I213" s="74">
        <f>I214</f>
        <v>0</v>
      </c>
      <c r="J213" s="71">
        <f>J214</f>
        <v>0</v>
      </c>
      <c r="K213" s="71">
        <f>K214</f>
        <v>0</v>
      </c>
      <c r="W213" s="71">
        <f>W214</f>
        <v>0</v>
      </c>
      <c r="X213" s="71">
        <f>X214</f>
        <v>0</v>
      </c>
    </row>
    <row r="214" spans="1:24" ht="18" customHeight="1" hidden="1">
      <c r="A214" s="25" t="s">
        <v>143</v>
      </c>
      <c r="B214" s="32" t="s">
        <v>88</v>
      </c>
      <c r="C214" s="32" t="s">
        <v>118</v>
      </c>
      <c r="D214" s="34" t="s">
        <v>396</v>
      </c>
      <c r="E214" s="32" t="s">
        <v>109</v>
      </c>
      <c r="F214" s="32" t="s">
        <v>52</v>
      </c>
      <c r="G214" s="74">
        <f>H214+I214+J214+K214</f>
        <v>0</v>
      </c>
      <c r="H214" s="71">
        <v>0</v>
      </c>
      <c r="I214" s="74">
        <f>79-79</f>
        <v>0</v>
      </c>
      <c r="J214" s="71">
        <f>79-79</f>
        <v>0</v>
      </c>
      <c r="K214" s="71"/>
      <c r="W214" s="71">
        <f>79-79</f>
        <v>0</v>
      </c>
      <c r="X214" s="71"/>
    </row>
    <row r="215" spans="1:24" ht="30" customHeight="1" hidden="1">
      <c r="A215" s="25" t="s">
        <v>423</v>
      </c>
      <c r="B215" s="32" t="s">
        <v>88</v>
      </c>
      <c r="C215" s="32" t="s">
        <v>118</v>
      </c>
      <c r="D215" s="34" t="s">
        <v>424</v>
      </c>
      <c r="E215" s="32" t="s">
        <v>109</v>
      </c>
      <c r="F215" s="32"/>
      <c r="G215" s="71">
        <f>G216</f>
        <v>0</v>
      </c>
      <c r="H215" s="71">
        <f>H216</f>
        <v>0</v>
      </c>
      <c r="I215" s="74">
        <f>I216</f>
        <v>0</v>
      </c>
      <c r="J215" s="71">
        <f>J216</f>
        <v>0</v>
      </c>
      <c r="K215" s="71">
        <f>K216</f>
        <v>0</v>
      </c>
      <c r="W215" s="71">
        <f>W216</f>
        <v>0</v>
      </c>
      <c r="X215" s="71">
        <f>X216</f>
        <v>0</v>
      </c>
    </row>
    <row r="216" spans="1:24" ht="18" customHeight="1" hidden="1">
      <c r="A216" s="25" t="s">
        <v>143</v>
      </c>
      <c r="B216" s="32" t="s">
        <v>88</v>
      </c>
      <c r="C216" s="32" t="s">
        <v>118</v>
      </c>
      <c r="D216" s="34" t="s">
        <v>424</v>
      </c>
      <c r="E216" s="32" t="s">
        <v>109</v>
      </c>
      <c r="F216" s="32" t="s">
        <v>51</v>
      </c>
      <c r="G216" s="74">
        <f>H216+I216+J216+K216</f>
        <v>0</v>
      </c>
      <c r="H216" s="71">
        <v>0</v>
      </c>
      <c r="I216" s="74">
        <f>79-79</f>
        <v>0</v>
      </c>
      <c r="J216" s="71">
        <f>350-350</f>
        <v>0</v>
      </c>
      <c r="K216" s="71"/>
      <c r="W216" s="71">
        <f>350-350</f>
        <v>0</v>
      </c>
      <c r="X216" s="71"/>
    </row>
    <row r="217" spans="1:24" ht="37.5" customHeight="1" hidden="1">
      <c r="A217" s="25" t="s">
        <v>426</v>
      </c>
      <c r="B217" s="32" t="s">
        <v>88</v>
      </c>
      <c r="C217" s="32" t="s">
        <v>118</v>
      </c>
      <c r="D217" s="34" t="s">
        <v>425</v>
      </c>
      <c r="E217" s="32" t="s">
        <v>109</v>
      </c>
      <c r="F217" s="32"/>
      <c r="G217" s="71">
        <f>G218</f>
        <v>0</v>
      </c>
      <c r="H217" s="71">
        <f>H218</f>
        <v>0</v>
      </c>
      <c r="I217" s="74">
        <f>I218</f>
        <v>0</v>
      </c>
      <c r="J217" s="71">
        <f>J218</f>
        <v>0</v>
      </c>
      <c r="K217" s="71">
        <f>K218</f>
        <v>0</v>
      </c>
      <c r="W217" s="71">
        <f>W218</f>
        <v>0</v>
      </c>
      <c r="X217" s="71">
        <f>X218</f>
        <v>0</v>
      </c>
    </row>
    <row r="218" spans="1:24" ht="18" customHeight="1" hidden="1">
      <c r="A218" s="26" t="s">
        <v>21</v>
      </c>
      <c r="B218" s="32" t="s">
        <v>88</v>
      </c>
      <c r="C218" s="32" t="s">
        <v>118</v>
      </c>
      <c r="D218" s="34" t="s">
        <v>425</v>
      </c>
      <c r="E218" s="32" t="s">
        <v>109</v>
      </c>
      <c r="F218" s="32" t="s">
        <v>49</v>
      </c>
      <c r="G218" s="74">
        <f>H218+I218+J218+K218</f>
        <v>0</v>
      </c>
      <c r="H218" s="71">
        <v>0</v>
      </c>
      <c r="I218" s="74">
        <f>79-79</f>
        <v>0</v>
      </c>
      <c r="J218" s="71">
        <f>150-150</f>
        <v>0</v>
      </c>
      <c r="K218" s="71"/>
      <c r="W218" s="71">
        <f>150-150</f>
        <v>0</v>
      </c>
      <c r="X218" s="71"/>
    </row>
    <row r="219" spans="1:24" ht="96.75" customHeight="1" hidden="1">
      <c r="A219" s="41" t="s">
        <v>183</v>
      </c>
      <c r="B219" s="32" t="s">
        <v>88</v>
      </c>
      <c r="C219" s="32" t="s">
        <v>118</v>
      </c>
      <c r="D219" s="31" t="s">
        <v>184</v>
      </c>
      <c r="E219" s="31" t="s">
        <v>40</v>
      </c>
      <c r="F219" s="31"/>
      <c r="G219" s="75">
        <f>G220</f>
        <v>0</v>
      </c>
      <c r="H219" s="75">
        <f>H220</f>
        <v>0</v>
      </c>
      <c r="I219" s="75">
        <f>I220</f>
        <v>0</v>
      </c>
      <c r="J219" s="75">
        <f>J220</f>
        <v>0</v>
      </c>
      <c r="K219" s="75">
        <f>K220</f>
        <v>0</v>
      </c>
      <c r="W219" s="75">
        <f>W220</f>
        <v>0</v>
      </c>
      <c r="X219" s="75">
        <f>X220</f>
        <v>0</v>
      </c>
    </row>
    <row r="220" spans="1:24" ht="14.25" customHeight="1" hidden="1">
      <c r="A220" s="25" t="s">
        <v>116</v>
      </c>
      <c r="B220" s="32" t="s">
        <v>88</v>
      </c>
      <c r="C220" s="32" t="s">
        <v>118</v>
      </c>
      <c r="D220" s="32" t="s">
        <v>184</v>
      </c>
      <c r="E220" s="32" t="s">
        <v>151</v>
      </c>
      <c r="F220" s="32" t="s">
        <v>83</v>
      </c>
      <c r="G220" s="74">
        <f>H220+I220+J220+K220</f>
        <v>0</v>
      </c>
      <c r="H220" s="74">
        <v>0</v>
      </c>
      <c r="I220" s="74">
        <v>0</v>
      </c>
      <c r="J220" s="74">
        <v>0</v>
      </c>
      <c r="K220" s="74">
        <v>0</v>
      </c>
      <c r="W220" s="74">
        <v>0</v>
      </c>
      <c r="X220" s="74">
        <v>0</v>
      </c>
    </row>
    <row r="221" spans="1:24" ht="97.5" customHeight="1">
      <c r="A221" s="41" t="s">
        <v>183</v>
      </c>
      <c r="B221" s="32" t="s">
        <v>88</v>
      </c>
      <c r="C221" s="32" t="s">
        <v>118</v>
      </c>
      <c r="D221" s="31" t="s">
        <v>331</v>
      </c>
      <c r="E221" s="31" t="s">
        <v>40</v>
      </c>
      <c r="F221" s="31"/>
      <c r="G221" s="75">
        <f>G222</f>
        <v>800</v>
      </c>
      <c r="H221" s="75">
        <f>H222</f>
        <v>0</v>
      </c>
      <c r="I221" s="75">
        <f>I222</f>
        <v>0</v>
      </c>
      <c r="J221" s="75">
        <f>J222</f>
        <v>800</v>
      </c>
      <c r="K221" s="75">
        <f>K222</f>
        <v>0</v>
      </c>
      <c r="W221" s="75">
        <f>W222</f>
        <v>0</v>
      </c>
      <c r="X221" s="75">
        <f>X222</f>
        <v>0</v>
      </c>
    </row>
    <row r="222" spans="1:24" ht="14.25" customHeight="1">
      <c r="A222" s="25" t="s">
        <v>116</v>
      </c>
      <c r="B222" s="32" t="s">
        <v>88</v>
      </c>
      <c r="C222" s="32" t="s">
        <v>118</v>
      </c>
      <c r="D222" s="32" t="s">
        <v>331</v>
      </c>
      <c r="E222" s="32" t="s">
        <v>151</v>
      </c>
      <c r="F222" s="32" t="s">
        <v>83</v>
      </c>
      <c r="G222" s="74">
        <f>H222+I222+J222+K222</f>
        <v>800</v>
      </c>
      <c r="H222" s="74">
        <v>0</v>
      </c>
      <c r="I222" s="74">
        <f>800-800</f>
        <v>0</v>
      </c>
      <c r="J222" s="74">
        <v>800</v>
      </c>
      <c r="K222" s="74"/>
      <c r="R222" s="14" t="s">
        <v>449</v>
      </c>
      <c r="W222" s="74">
        <v>0</v>
      </c>
      <c r="X222" s="74"/>
    </row>
    <row r="223" spans="1:24" ht="14.25" customHeight="1">
      <c r="A223" s="25" t="s">
        <v>394</v>
      </c>
      <c r="B223" s="32" t="s">
        <v>88</v>
      </c>
      <c r="C223" s="32" t="s">
        <v>393</v>
      </c>
      <c r="D223" s="31" t="s">
        <v>395</v>
      </c>
      <c r="E223" s="32" t="s">
        <v>145</v>
      </c>
      <c r="F223" s="32"/>
      <c r="G223" s="75">
        <f>G224</f>
        <v>0</v>
      </c>
      <c r="H223" s="75">
        <f>H224</f>
        <v>0</v>
      </c>
      <c r="I223" s="75">
        <f>I224</f>
        <v>0</v>
      </c>
      <c r="J223" s="75">
        <f>J224</f>
        <v>0</v>
      </c>
      <c r="K223" s="75">
        <f>K224</f>
        <v>0</v>
      </c>
      <c r="W223" s="75">
        <f>W224</f>
        <v>1600</v>
      </c>
      <c r="X223" s="75">
        <f>X224</f>
        <v>700</v>
      </c>
    </row>
    <row r="224" spans="1:24" ht="14.25" customHeight="1">
      <c r="A224" s="25" t="s">
        <v>143</v>
      </c>
      <c r="B224" s="32" t="s">
        <v>88</v>
      </c>
      <c r="C224" s="32" t="s">
        <v>393</v>
      </c>
      <c r="D224" s="32" t="s">
        <v>395</v>
      </c>
      <c r="E224" s="32" t="s">
        <v>112</v>
      </c>
      <c r="F224" s="32" t="s">
        <v>51</v>
      </c>
      <c r="G224" s="74">
        <f>H224+I224+J224+K224</f>
        <v>0</v>
      </c>
      <c r="H224" s="74">
        <v>0</v>
      </c>
      <c r="I224" s="74">
        <f>1647.4-150-20-99.5-1377.9</f>
        <v>0</v>
      </c>
      <c r="J224" s="74">
        <f>1377.9-1377.9</f>
        <v>0</v>
      </c>
      <c r="K224" s="74">
        <f>1377.9-1377.9</f>
        <v>0</v>
      </c>
      <c r="W224" s="74">
        <v>1600</v>
      </c>
      <c r="X224" s="74">
        <v>700</v>
      </c>
    </row>
    <row r="225" spans="1:24" ht="54" customHeight="1">
      <c r="A225" s="72" t="s">
        <v>439</v>
      </c>
      <c r="B225" s="31" t="s">
        <v>88</v>
      </c>
      <c r="C225" s="31" t="s">
        <v>393</v>
      </c>
      <c r="D225" s="31" t="s">
        <v>441</v>
      </c>
      <c r="E225" s="31" t="s">
        <v>142</v>
      </c>
      <c r="F225" s="31"/>
      <c r="G225" s="75">
        <f>G226+G228</f>
        <v>1833.33</v>
      </c>
      <c r="H225" s="75">
        <f>H226+H228</f>
        <v>0</v>
      </c>
      <c r="I225" s="75">
        <f>I226+I228</f>
        <v>1833.33</v>
      </c>
      <c r="J225" s="75">
        <f>J226+J228</f>
        <v>0</v>
      </c>
      <c r="K225" s="75">
        <f>K226+K228</f>
        <v>0</v>
      </c>
      <c r="W225" s="75">
        <f>W226+W228</f>
        <v>1150</v>
      </c>
      <c r="X225" s="75">
        <f>X226+X228</f>
        <v>1012.7</v>
      </c>
    </row>
    <row r="226" spans="1:24" ht="57" customHeight="1">
      <c r="A226" s="35" t="s">
        <v>437</v>
      </c>
      <c r="B226" s="34" t="s">
        <v>88</v>
      </c>
      <c r="C226" s="34" t="s">
        <v>393</v>
      </c>
      <c r="D226" s="32" t="s">
        <v>436</v>
      </c>
      <c r="E226" s="34" t="s">
        <v>109</v>
      </c>
      <c r="F226" s="34"/>
      <c r="G226" s="71">
        <f>G227</f>
        <v>733.33</v>
      </c>
      <c r="H226" s="71">
        <f>H227</f>
        <v>0</v>
      </c>
      <c r="I226" s="71">
        <f>I227</f>
        <v>733.33</v>
      </c>
      <c r="J226" s="71">
        <f>J227</f>
        <v>0</v>
      </c>
      <c r="K226" s="71">
        <f>K227</f>
        <v>0</v>
      </c>
      <c r="W226" s="71">
        <f>W227</f>
        <v>460</v>
      </c>
      <c r="X226" s="71">
        <f>X227</f>
        <v>405.1</v>
      </c>
    </row>
    <row r="227" spans="1:24" ht="14.25" customHeight="1">
      <c r="A227" s="25" t="s">
        <v>30</v>
      </c>
      <c r="B227" s="32" t="s">
        <v>88</v>
      </c>
      <c r="C227" s="32" t="s">
        <v>393</v>
      </c>
      <c r="D227" s="32" t="s">
        <v>436</v>
      </c>
      <c r="E227" s="32" t="s">
        <v>109</v>
      </c>
      <c r="F227" s="32" t="s">
        <v>52</v>
      </c>
      <c r="G227" s="74">
        <f>H227+I227+J227+K227</f>
        <v>733.33</v>
      </c>
      <c r="H227" s="74">
        <v>0</v>
      </c>
      <c r="I227" s="74">
        <v>733.33</v>
      </c>
      <c r="J227" s="74"/>
      <c r="K227" s="74">
        <v>0</v>
      </c>
      <c r="R227" s="14" t="s">
        <v>440</v>
      </c>
      <c r="W227" s="74">
        <v>460</v>
      </c>
      <c r="X227" s="74">
        <v>405.1</v>
      </c>
    </row>
    <row r="228" spans="1:24" ht="54.75" customHeight="1">
      <c r="A228" s="35" t="s">
        <v>438</v>
      </c>
      <c r="B228" s="34" t="s">
        <v>88</v>
      </c>
      <c r="C228" s="34" t="s">
        <v>393</v>
      </c>
      <c r="D228" s="32" t="s">
        <v>436</v>
      </c>
      <c r="E228" s="34" t="s">
        <v>109</v>
      </c>
      <c r="F228" s="34" t="s">
        <v>47</v>
      </c>
      <c r="G228" s="71">
        <f>G229</f>
        <v>1100</v>
      </c>
      <c r="H228" s="71">
        <f>H229</f>
        <v>0</v>
      </c>
      <c r="I228" s="71">
        <f>I229</f>
        <v>1100</v>
      </c>
      <c r="J228" s="71">
        <f>J229</f>
        <v>0</v>
      </c>
      <c r="K228" s="71">
        <f>K229</f>
        <v>0</v>
      </c>
      <c r="W228" s="71">
        <f>W229</f>
        <v>690</v>
      </c>
      <c r="X228" s="71">
        <f>X229</f>
        <v>607.6</v>
      </c>
    </row>
    <row r="229" spans="1:24" ht="22.5" customHeight="1">
      <c r="A229" s="25" t="s">
        <v>30</v>
      </c>
      <c r="B229" s="32" t="s">
        <v>88</v>
      </c>
      <c r="C229" s="32" t="s">
        <v>393</v>
      </c>
      <c r="D229" s="32" t="s">
        <v>436</v>
      </c>
      <c r="E229" s="32" t="s">
        <v>109</v>
      </c>
      <c r="F229" s="32" t="s">
        <v>52</v>
      </c>
      <c r="G229" s="74">
        <f>H229+I229+J229+K229</f>
        <v>1100</v>
      </c>
      <c r="H229" s="74">
        <v>0</v>
      </c>
      <c r="I229" s="74">
        <v>1100</v>
      </c>
      <c r="J229" s="74"/>
      <c r="K229" s="74">
        <v>0</v>
      </c>
      <c r="R229" s="14" t="s">
        <v>440</v>
      </c>
      <c r="W229" s="74">
        <v>690</v>
      </c>
      <c r="X229" s="74">
        <v>607.6</v>
      </c>
    </row>
    <row r="230" spans="1:24" ht="18" customHeight="1">
      <c r="A230" s="36" t="s">
        <v>90</v>
      </c>
      <c r="B230" s="39" t="s">
        <v>88</v>
      </c>
      <c r="C230" s="39" t="s">
        <v>65</v>
      </c>
      <c r="D230" s="31" t="s">
        <v>173</v>
      </c>
      <c r="E230" s="39" t="s">
        <v>66</v>
      </c>
      <c r="F230" s="39"/>
      <c r="G230" s="73">
        <f>H230+I230+J230+K230</f>
        <v>10830.2</v>
      </c>
      <c r="H230" s="73">
        <f>H231+H235+H253+H257+H258+H255+H254</f>
        <v>3917.8500000000004</v>
      </c>
      <c r="I230" s="73">
        <f>I231+I235+I253+I257+I258+I255+I254</f>
        <v>1103.75</v>
      </c>
      <c r="J230" s="73">
        <f>J231+J235+J253+J257+J258+J255+J254</f>
        <v>3042.75</v>
      </c>
      <c r="K230" s="73">
        <f>K231+K235+K253+K257+K258+K255+K254</f>
        <v>2765.85</v>
      </c>
      <c r="W230" s="73">
        <f>W231+W235+W253+W257+W258+W255+W254</f>
        <v>9509.609999999999</v>
      </c>
      <c r="X230" s="73">
        <f>X231+X235+X253+X257+X258+X255+X254</f>
        <v>9583.01</v>
      </c>
    </row>
    <row r="231" spans="1:24" ht="15" customHeight="1">
      <c r="A231" s="25" t="s">
        <v>15</v>
      </c>
      <c r="B231" s="31"/>
      <c r="C231" s="31"/>
      <c r="D231" s="31"/>
      <c r="E231" s="31"/>
      <c r="F231" s="32" t="s">
        <v>41</v>
      </c>
      <c r="G231" s="74">
        <f>H231+I231+J231+K231</f>
        <v>1158.81</v>
      </c>
      <c r="H231" s="74">
        <f>H232+H234</f>
        <v>231.8</v>
      </c>
      <c r="I231" s="74">
        <f>I232+I234</f>
        <v>289.7</v>
      </c>
      <c r="J231" s="74">
        <f>J232+J234</f>
        <v>289.7</v>
      </c>
      <c r="K231" s="74">
        <f>K232+K234+K233</f>
        <v>347.61</v>
      </c>
      <c r="W231" s="74">
        <f>W232+W234</f>
        <v>1158.81</v>
      </c>
      <c r="X231" s="74">
        <f>X232+X234+X233</f>
        <v>1158.81</v>
      </c>
    </row>
    <row r="232" spans="1:24" ht="13.5" customHeight="1">
      <c r="A232" s="26" t="s">
        <v>16</v>
      </c>
      <c r="B232" s="31"/>
      <c r="C232" s="31"/>
      <c r="D232" s="31"/>
      <c r="E232" s="31"/>
      <c r="F232" s="32" t="s">
        <v>42</v>
      </c>
      <c r="G232" s="74">
        <f>H232+I232+J232+K232</f>
        <v>890.01</v>
      </c>
      <c r="H232" s="74">
        <f>H357</f>
        <v>178</v>
      </c>
      <c r="I232" s="74">
        <f>I357</f>
        <v>222.5</v>
      </c>
      <c r="J232" s="74">
        <f>J357</f>
        <v>222.5</v>
      </c>
      <c r="K232" s="74">
        <f>K357</f>
        <v>267.01</v>
      </c>
      <c r="W232" s="74">
        <f>W357</f>
        <v>890.01</v>
      </c>
      <c r="X232" s="74">
        <f>X357</f>
        <v>890.01</v>
      </c>
    </row>
    <row r="233" spans="1:24" ht="15" customHeight="1" hidden="1">
      <c r="A233" s="26" t="s">
        <v>17</v>
      </c>
      <c r="B233" s="31"/>
      <c r="C233" s="31"/>
      <c r="D233" s="31"/>
      <c r="E233" s="31"/>
      <c r="F233" s="32" t="s">
        <v>43</v>
      </c>
      <c r="G233" s="74">
        <f>K233</f>
        <v>0</v>
      </c>
      <c r="H233" s="74"/>
      <c r="I233" s="74"/>
      <c r="J233" s="74"/>
      <c r="K233" s="74">
        <f>K358</f>
        <v>0</v>
      </c>
      <c r="W233" s="74"/>
      <c r="X233" s="74">
        <f>X358</f>
        <v>0</v>
      </c>
    </row>
    <row r="234" spans="1:24" ht="13.5" customHeight="1">
      <c r="A234" s="26" t="s">
        <v>18</v>
      </c>
      <c r="B234" s="31"/>
      <c r="C234" s="31"/>
      <c r="D234" s="31"/>
      <c r="E234" s="31"/>
      <c r="F234" s="32" t="s">
        <v>44</v>
      </c>
      <c r="G234" s="74">
        <f>H234+I234+J234+K234</f>
        <v>268.79999999999995</v>
      </c>
      <c r="H234" s="74">
        <f>H359</f>
        <v>53.8</v>
      </c>
      <c r="I234" s="74">
        <f>I359</f>
        <v>67.2</v>
      </c>
      <c r="J234" s="74">
        <f>J359</f>
        <v>67.2</v>
      </c>
      <c r="K234" s="74">
        <f>K359</f>
        <v>80.6</v>
      </c>
      <c r="W234" s="74">
        <f>W359</f>
        <v>268.8</v>
      </c>
      <c r="X234" s="74">
        <f>X359</f>
        <v>268.8</v>
      </c>
    </row>
    <row r="235" spans="1:24" ht="14.25" customHeight="1">
      <c r="A235" s="26" t="s">
        <v>19</v>
      </c>
      <c r="B235" s="31"/>
      <c r="C235" s="31"/>
      <c r="D235" s="31"/>
      <c r="E235" s="31"/>
      <c r="F235" s="32" t="s">
        <v>47</v>
      </c>
      <c r="G235" s="74">
        <f>H235+I235+J235+K235</f>
        <v>9271.39</v>
      </c>
      <c r="H235" s="74">
        <f>H236+H238+H243+H249+H237+H256</f>
        <v>3686.05</v>
      </c>
      <c r="I235" s="74">
        <f>I236+I238+I243+I249+I237+I256</f>
        <v>814.05</v>
      </c>
      <c r="J235" s="74">
        <f>J236+J238+J243+J249+J237+J256</f>
        <v>2353.05</v>
      </c>
      <c r="K235" s="74">
        <f>K236+K238+K243+K249+K237+K256</f>
        <v>2418.24</v>
      </c>
      <c r="W235" s="74">
        <f>W236+W238+W243+W249+W237+W256</f>
        <v>8350.8</v>
      </c>
      <c r="X235" s="74">
        <f>X236+X238+X243+X249+X237+X256</f>
        <v>8424.2</v>
      </c>
    </row>
    <row r="236" spans="1:24" ht="13.5" customHeight="1" hidden="1">
      <c r="A236" s="26" t="s">
        <v>20</v>
      </c>
      <c r="B236" s="31"/>
      <c r="C236" s="31"/>
      <c r="D236" s="31"/>
      <c r="E236" s="31"/>
      <c r="F236" s="32" t="s">
        <v>48</v>
      </c>
      <c r="G236" s="74">
        <f>H236+I236+J236+K236</f>
        <v>0</v>
      </c>
      <c r="H236" s="74"/>
      <c r="I236" s="74"/>
      <c r="J236" s="74"/>
      <c r="K236" s="74"/>
      <c r="W236" s="74"/>
      <c r="X236" s="74"/>
    </row>
    <row r="237" spans="1:24" ht="13.5" customHeight="1" hidden="1">
      <c r="A237" s="26" t="s">
        <v>21</v>
      </c>
      <c r="B237" s="31"/>
      <c r="C237" s="31"/>
      <c r="D237" s="31"/>
      <c r="E237" s="31"/>
      <c r="F237" s="32" t="s">
        <v>49</v>
      </c>
      <c r="G237" s="74">
        <f>H237+I237+J237+K237</f>
        <v>0</v>
      </c>
      <c r="H237" s="74"/>
      <c r="I237" s="74"/>
      <c r="J237" s="74"/>
      <c r="K237" s="74"/>
      <c r="W237" s="74"/>
      <c r="X237" s="74"/>
    </row>
    <row r="238" spans="1:24" ht="12" customHeight="1">
      <c r="A238" s="26" t="s">
        <v>22</v>
      </c>
      <c r="B238" s="31"/>
      <c r="C238" s="31"/>
      <c r="D238" s="31"/>
      <c r="E238" s="31"/>
      <c r="F238" s="32" t="s">
        <v>50</v>
      </c>
      <c r="G238" s="74">
        <f>H238+I238+J238+K238</f>
        <v>2848.19</v>
      </c>
      <c r="H238" s="74">
        <f>H240+H241+H242</f>
        <v>554</v>
      </c>
      <c r="I238" s="74">
        <f>I240+I241+I242</f>
        <v>420</v>
      </c>
      <c r="J238" s="74">
        <f>J240+J241+J242</f>
        <v>450</v>
      </c>
      <c r="K238" s="74">
        <f>K240+K241+K242</f>
        <v>1424.19</v>
      </c>
      <c r="W238" s="74">
        <f>W240+W241+W242</f>
        <v>3965.6</v>
      </c>
      <c r="X238" s="74">
        <f>X240+X241+X242</f>
        <v>4039</v>
      </c>
    </row>
    <row r="239" spans="1:24" ht="13.5" customHeight="1">
      <c r="A239" s="26" t="s">
        <v>23</v>
      </c>
      <c r="B239" s="31"/>
      <c r="C239" s="31"/>
      <c r="D239" s="31"/>
      <c r="E239" s="31"/>
      <c r="F239" s="32"/>
      <c r="G239" s="74"/>
      <c r="H239" s="74"/>
      <c r="I239" s="74"/>
      <c r="J239" s="74"/>
      <c r="K239" s="74"/>
      <c r="W239" s="74"/>
      <c r="X239" s="74"/>
    </row>
    <row r="240" spans="1:24" ht="12.75" customHeight="1" hidden="1">
      <c r="A240" s="26" t="s">
        <v>24</v>
      </c>
      <c r="B240" s="31"/>
      <c r="C240" s="31"/>
      <c r="D240" s="31"/>
      <c r="E240" s="31"/>
      <c r="F240" s="32" t="s">
        <v>50</v>
      </c>
      <c r="G240" s="74">
        <f>H240+I240+J240+K240</f>
        <v>0</v>
      </c>
      <c r="H240" s="74"/>
      <c r="I240" s="74"/>
      <c r="J240" s="74"/>
      <c r="K240" s="74"/>
      <c r="W240" s="74"/>
      <c r="X240" s="74"/>
    </row>
    <row r="241" spans="1:24" ht="12" customHeight="1">
      <c r="A241" s="26" t="s">
        <v>25</v>
      </c>
      <c r="B241" s="31"/>
      <c r="C241" s="31"/>
      <c r="D241" s="31"/>
      <c r="E241" s="31"/>
      <c r="F241" s="32" t="s">
        <v>50</v>
      </c>
      <c r="G241" s="74">
        <f>H241+J241+I241+K241</f>
        <v>2848.19</v>
      </c>
      <c r="H241" s="74">
        <f>H310</f>
        <v>554</v>
      </c>
      <c r="I241" s="74">
        <f>I310</f>
        <v>420</v>
      </c>
      <c r="J241" s="74">
        <f>J310</f>
        <v>450</v>
      </c>
      <c r="K241" s="74">
        <f>K310</f>
        <v>1424.19</v>
      </c>
      <c r="W241" s="74">
        <f>W310</f>
        <v>3965.6</v>
      </c>
      <c r="X241" s="74">
        <f>X310</f>
        <v>4039</v>
      </c>
    </row>
    <row r="242" spans="1:24" ht="12" customHeight="1" hidden="1">
      <c r="A242" s="26" t="s">
        <v>26</v>
      </c>
      <c r="B242" s="31"/>
      <c r="C242" s="31"/>
      <c r="D242" s="31"/>
      <c r="E242" s="31"/>
      <c r="F242" s="32" t="s">
        <v>50</v>
      </c>
      <c r="G242" s="74">
        <f>H242+I242+J242+K242</f>
        <v>0</v>
      </c>
      <c r="H242" s="74"/>
      <c r="I242" s="74"/>
      <c r="J242" s="74"/>
      <c r="K242" s="74"/>
      <c r="W242" s="74"/>
      <c r="X242" s="74"/>
    </row>
    <row r="243" spans="1:24" ht="13.5" customHeight="1">
      <c r="A243" s="26" t="s">
        <v>143</v>
      </c>
      <c r="B243" s="31"/>
      <c r="C243" s="31"/>
      <c r="D243" s="31"/>
      <c r="E243" s="31"/>
      <c r="F243" s="32" t="s">
        <v>51</v>
      </c>
      <c r="G243" s="74">
        <f>H243+I243+J243+K243</f>
        <v>3985.2</v>
      </c>
      <c r="H243" s="74">
        <f>H245+H246+H248+H247</f>
        <v>694.05</v>
      </c>
      <c r="I243" s="74">
        <f>I245+I246+I248+I247</f>
        <v>394.05</v>
      </c>
      <c r="J243" s="74">
        <f>J245+J246+J248+J247</f>
        <v>1903.05</v>
      </c>
      <c r="K243" s="74">
        <f>K246+K245+K248+K247</f>
        <v>994.05</v>
      </c>
      <c r="W243" s="74">
        <f>W245+W246+W248+W247</f>
        <v>4385.2</v>
      </c>
      <c r="X243" s="74">
        <f>X246+X245+X248+X247</f>
        <v>4385.2</v>
      </c>
    </row>
    <row r="244" spans="1:24" ht="13.5" customHeight="1">
      <c r="A244" s="26" t="s">
        <v>23</v>
      </c>
      <c r="B244" s="31"/>
      <c r="C244" s="31"/>
      <c r="D244" s="31"/>
      <c r="E244" s="31"/>
      <c r="F244" s="32"/>
      <c r="G244" s="74"/>
      <c r="H244" s="74"/>
      <c r="I244" s="74"/>
      <c r="J244" s="74"/>
      <c r="K244" s="74"/>
      <c r="W244" s="74"/>
      <c r="X244" s="74"/>
    </row>
    <row r="245" spans="1:24" ht="15" customHeight="1" hidden="1">
      <c r="A245" s="26" t="s">
        <v>28</v>
      </c>
      <c r="B245" s="31"/>
      <c r="C245" s="31"/>
      <c r="D245" s="31"/>
      <c r="E245" s="31"/>
      <c r="F245" s="32" t="s">
        <v>51</v>
      </c>
      <c r="G245" s="74">
        <f>H245+J245+I245+K245</f>
        <v>0</v>
      </c>
      <c r="H245" s="74"/>
      <c r="I245" s="74"/>
      <c r="J245" s="74"/>
      <c r="K245" s="74"/>
      <c r="W245" s="74"/>
      <c r="X245" s="74"/>
    </row>
    <row r="246" spans="1:24" ht="12" customHeight="1" hidden="1">
      <c r="A246" s="26" t="s">
        <v>29</v>
      </c>
      <c r="B246" s="31"/>
      <c r="C246" s="31"/>
      <c r="D246" s="31"/>
      <c r="E246" s="31"/>
      <c r="F246" s="32" t="s">
        <v>51</v>
      </c>
      <c r="G246" s="74">
        <f>H246+I246+J246+K246</f>
        <v>0</v>
      </c>
      <c r="H246" s="74"/>
      <c r="I246" s="74"/>
      <c r="J246" s="74"/>
      <c r="K246" s="74"/>
      <c r="W246" s="74"/>
      <c r="X246" s="74"/>
    </row>
    <row r="247" spans="1:24" ht="14.25" customHeight="1" hidden="1">
      <c r="A247" s="26" t="s">
        <v>100</v>
      </c>
      <c r="B247" s="31"/>
      <c r="C247" s="31"/>
      <c r="D247" s="31"/>
      <c r="E247" s="31"/>
      <c r="F247" s="32" t="s">
        <v>51</v>
      </c>
      <c r="G247" s="74">
        <f>H247+I247+J247+K247</f>
        <v>0</v>
      </c>
      <c r="H247" s="74"/>
      <c r="I247" s="74"/>
      <c r="J247" s="74"/>
      <c r="K247" s="74"/>
      <c r="W247" s="74"/>
      <c r="X247" s="74"/>
    </row>
    <row r="248" spans="1:24" ht="15" customHeight="1">
      <c r="A248" s="26" t="s">
        <v>86</v>
      </c>
      <c r="B248" s="31"/>
      <c r="C248" s="31"/>
      <c r="D248" s="42"/>
      <c r="E248" s="31"/>
      <c r="F248" s="32" t="s">
        <v>51</v>
      </c>
      <c r="G248" s="74">
        <f>H248+I248+J248+K248</f>
        <v>3985.2</v>
      </c>
      <c r="H248" s="74">
        <f>H268+H316+H320+H323+H325+H313+H270+H274+H297+H299+H339+H341+H343+H345+H291+H349+H353+H277+H279+H301+H294+H347+H351+H328</f>
        <v>694.05</v>
      </c>
      <c r="I248" s="74">
        <f>I268+I316+I320+I323+I325+I313+I270+I274+I297+I299+I339+I341+I343+I345+I291+I349+I353+I277+I279+I301+I294+I347+I351+I328</f>
        <v>394.05</v>
      </c>
      <c r="J248" s="74">
        <f>J268+J316+J320+J323+J325+J313+J270+J274+J297+J299+J339+J341+J343+J345+J291+J349+J353+J277+J279+J301+J294+J347+J351+J328</f>
        <v>1903.05</v>
      </c>
      <c r="K248" s="74">
        <f>K268+K316+K320+K323+K325+K313+K270+K274+K297+K299+K339+K341+K343+K345+K291+K349+K353+K277+K279+K301+K294+K347+K351+K328</f>
        <v>994.05</v>
      </c>
      <c r="W248" s="74">
        <f>W268+W316+W320+W323+W325+W313+W270+W274+W297+W299+W339+W341+W343+W345+W291+W349+W353+W277+W279+W301+W294+W347+W351+W328</f>
        <v>4385.2</v>
      </c>
      <c r="X248" s="74">
        <f>X268+X316+X320+X323+X325+X313+X270+X274+X297+X299+X339+X341+X343+X345+X291+X349+X353+X277+X279+X301+X294+X347+X351+X328</f>
        <v>4385.2</v>
      </c>
    </row>
    <row r="249" spans="1:24" ht="12" customHeight="1">
      <c r="A249" s="26" t="s">
        <v>30</v>
      </c>
      <c r="B249" s="31"/>
      <c r="C249" s="31"/>
      <c r="D249" s="31"/>
      <c r="E249" s="31"/>
      <c r="F249" s="32" t="s">
        <v>52</v>
      </c>
      <c r="G249" s="74">
        <f>H249+I249+J249+K249</f>
        <v>2438</v>
      </c>
      <c r="H249" s="74">
        <f>H251+H252</f>
        <v>2438</v>
      </c>
      <c r="I249" s="74">
        <f>I251+I252</f>
        <v>0</v>
      </c>
      <c r="J249" s="74">
        <f>J251+J252</f>
        <v>0</v>
      </c>
      <c r="K249" s="74">
        <f>K251+K252</f>
        <v>0</v>
      </c>
      <c r="W249" s="74">
        <f>W251+W252</f>
        <v>0</v>
      </c>
      <c r="X249" s="74">
        <f>X251+X252</f>
        <v>0</v>
      </c>
    </row>
    <row r="250" spans="1:24" ht="12" customHeight="1">
      <c r="A250" s="26" t="s">
        <v>23</v>
      </c>
      <c r="B250" s="31"/>
      <c r="C250" s="31"/>
      <c r="D250" s="31"/>
      <c r="E250" s="31"/>
      <c r="F250" s="32"/>
      <c r="G250" s="74"/>
      <c r="H250" s="74"/>
      <c r="I250" s="74"/>
      <c r="J250" s="74"/>
      <c r="K250" s="74"/>
      <c r="W250" s="74"/>
      <c r="X250" s="74"/>
    </row>
    <row r="251" spans="1:24" ht="12.75" customHeight="1">
      <c r="A251" s="26" t="s">
        <v>78</v>
      </c>
      <c r="B251" s="31"/>
      <c r="C251" s="31"/>
      <c r="D251" s="31"/>
      <c r="E251" s="31"/>
      <c r="F251" s="32" t="s">
        <v>52</v>
      </c>
      <c r="G251" s="74">
        <f aca="true" t="shared" si="22" ref="G251:G259">H251+I251+J251+K251</f>
        <v>2438</v>
      </c>
      <c r="H251" s="74">
        <f>H289+H332+H330+H281+H306+H308+H334</f>
        <v>2438</v>
      </c>
      <c r="I251" s="74">
        <f>I289+I332+I330+I281+I306+I308+I334</f>
        <v>0</v>
      </c>
      <c r="J251" s="74">
        <f>J289+J332+J330+J281+J306+J308+J334</f>
        <v>0</v>
      </c>
      <c r="K251" s="74">
        <f>K289+K332+K330+K281+K306+K308+K334</f>
        <v>0</v>
      </c>
      <c r="W251" s="74">
        <f>W289+W332+W330+W281+W306+W308+W334</f>
        <v>0</v>
      </c>
      <c r="X251" s="74">
        <f>X289+X332+X330+X281+X306+X308+X334</f>
        <v>0</v>
      </c>
    </row>
    <row r="252" spans="1:24" ht="14.25" customHeight="1" hidden="1">
      <c r="A252" s="26" t="s">
        <v>76</v>
      </c>
      <c r="B252" s="31"/>
      <c r="C252" s="31"/>
      <c r="D252" s="31"/>
      <c r="E252" s="31"/>
      <c r="F252" s="32" t="s">
        <v>52</v>
      </c>
      <c r="G252" s="74">
        <f t="shared" si="22"/>
        <v>0</v>
      </c>
      <c r="H252" s="74"/>
      <c r="I252" s="74"/>
      <c r="J252" s="74"/>
      <c r="K252" s="74"/>
      <c r="W252" s="74"/>
      <c r="X252" s="74"/>
    </row>
    <row r="253" spans="1:24" ht="10.5" customHeight="1" hidden="1">
      <c r="A253" s="26" t="s">
        <v>91</v>
      </c>
      <c r="B253" s="31"/>
      <c r="C253" s="31"/>
      <c r="D253" s="31"/>
      <c r="E253" s="31"/>
      <c r="F253" s="32" t="s">
        <v>71</v>
      </c>
      <c r="G253" s="74">
        <f t="shared" si="22"/>
        <v>0</v>
      </c>
      <c r="H253" s="74"/>
      <c r="I253" s="74"/>
      <c r="J253" s="74"/>
      <c r="K253" s="74"/>
      <c r="W253" s="74"/>
      <c r="X253" s="74"/>
    </row>
    <row r="254" spans="1:24" ht="12" customHeight="1" hidden="1">
      <c r="A254" s="26" t="s">
        <v>148</v>
      </c>
      <c r="B254" s="31"/>
      <c r="C254" s="31"/>
      <c r="D254" s="31"/>
      <c r="E254" s="31"/>
      <c r="F254" s="32" t="s">
        <v>67</v>
      </c>
      <c r="G254" s="74">
        <f>H254+I254+J254+K254</f>
        <v>-7.194245199571014E-14</v>
      </c>
      <c r="H254" s="74">
        <f>H272</f>
        <v>0</v>
      </c>
      <c r="I254" s="74">
        <f>I272</f>
        <v>0</v>
      </c>
      <c r="J254" s="74">
        <f>J272</f>
        <v>0</v>
      </c>
      <c r="K254" s="74">
        <f>K272</f>
        <v>-7.194245199571014E-14</v>
      </c>
      <c r="W254" s="74">
        <f>W272</f>
        <v>0</v>
      </c>
      <c r="X254" s="74">
        <f>X272</f>
        <v>-7.194245199571014E-14</v>
      </c>
    </row>
    <row r="255" spans="1:24" ht="21" customHeight="1">
      <c r="A255" s="26" t="s">
        <v>116</v>
      </c>
      <c r="B255" s="31"/>
      <c r="C255" s="31"/>
      <c r="D255" s="31"/>
      <c r="E255" s="31"/>
      <c r="F255" s="32" t="s">
        <v>83</v>
      </c>
      <c r="G255" s="74">
        <f>H255+I255+J255+K255</f>
        <v>400</v>
      </c>
      <c r="H255" s="74">
        <f>H285</f>
        <v>0</v>
      </c>
      <c r="I255" s="74">
        <f>I285</f>
        <v>0</v>
      </c>
      <c r="J255" s="74">
        <f>J285</f>
        <v>400</v>
      </c>
      <c r="K255" s="74">
        <f>K285</f>
        <v>0</v>
      </c>
      <c r="W255" s="74">
        <f>W285</f>
        <v>0</v>
      </c>
      <c r="X255" s="74">
        <f>X285</f>
        <v>0</v>
      </c>
    </row>
    <row r="256" spans="1:24" ht="21" customHeight="1" hidden="1">
      <c r="A256" s="43" t="s">
        <v>344</v>
      </c>
      <c r="B256" s="31"/>
      <c r="C256" s="31"/>
      <c r="D256" s="31"/>
      <c r="E256" s="31"/>
      <c r="F256" s="32" t="s">
        <v>54</v>
      </c>
      <c r="G256" s="74">
        <f>H256+I256+J256+K256</f>
        <v>0</v>
      </c>
      <c r="H256" s="74">
        <f>H304</f>
        <v>0</v>
      </c>
      <c r="I256" s="74">
        <f>I304</f>
        <v>0</v>
      </c>
      <c r="J256" s="74">
        <f>J304</f>
        <v>0</v>
      </c>
      <c r="K256" s="74">
        <f>K304</f>
        <v>0</v>
      </c>
      <c r="W256" s="74">
        <f>W304</f>
        <v>0</v>
      </c>
      <c r="X256" s="74">
        <f>X304</f>
        <v>0</v>
      </c>
    </row>
    <row r="257" spans="1:24" ht="13.5" customHeight="1" hidden="1">
      <c r="A257" s="26" t="s">
        <v>31</v>
      </c>
      <c r="B257" s="31"/>
      <c r="C257" s="31"/>
      <c r="D257" s="31"/>
      <c r="E257" s="31"/>
      <c r="F257" s="32" t="s">
        <v>53</v>
      </c>
      <c r="G257" s="74">
        <f t="shared" si="22"/>
        <v>0</v>
      </c>
      <c r="H257" s="74">
        <f>H318</f>
        <v>0</v>
      </c>
      <c r="I257" s="74">
        <f>I318</f>
        <v>0</v>
      </c>
      <c r="J257" s="74">
        <f>J318</f>
        <v>0</v>
      </c>
      <c r="K257" s="74">
        <f>K318</f>
        <v>0</v>
      </c>
      <c r="W257" s="74">
        <f>W318</f>
        <v>0</v>
      </c>
      <c r="X257" s="74">
        <f>X318</f>
        <v>0</v>
      </c>
    </row>
    <row r="258" spans="1:24" ht="15" customHeight="1" hidden="1">
      <c r="A258" s="25" t="s">
        <v>33</v>
      </c>
      <c r="B258" s="31"/>
      <c r="C258" s="31"/>
      <c r="D258" s="31"/>
      <c r="E258" s="31"/>
      <c r="F258" s="32" t="s">
        <v>55</v>
      </c>
      <c r="G258" s="74">
        <f t="shared" si="22"/>
        <v>0</v>
      </c>
      <c r="H258" s="74">
        <f>H259+H260</f>
        <v>0</v>
      </c>
      <c r="I258" s="74">
        <f>I259+I260</f>
        <v>0</v>
      </c>
      <c r="J258" s="74">
        <f>J259+J260</f>
        <v>0</v>
      </c>
      <c r="K258" s="74">
        <f>K259+K260</f>
        <v>0</v>
      </c>
      <c r="W258" s="74">
        <f>W259+W260</f>
        <v>0</v>
      </c>
      <c r="X258" s="74">
        <f>X259+X260</f>
        <v>0</v>
      </c>
    </row>
    <row r="259" spans="1:24" ht="11.25" customHeight="1" hidden="1">
      <c r="A259" s="25" t="s">
        <v>34</v>
      </c>
      <c r="B259" s="31"/>
      <c r="C259" s="31"/>
      <c r="D259" s="31"/>
      <c r="E259" s="31"/>
      <c r="F259" s="32" t="s">
        <v>56</v>
      </c>
      <c r="G259" s="74">
        <f t="shared" si="22"/>
        <v>0</v>
      </c>
      <c r="H259" s="74"/>
      <c r="I259" s="74"/>
      <c r="J259" s="74"/>
      <c r="K259" s="74"/>
      <c r="W259" s="74"/>
      <c r="X259" s="74"/>
    </row>
    <row r="260" spans="1:24" ht="14.25" customHeight="1" hidden="1">
      <c r="A260" s="25" t="s">
        <v>35</v>
      </c>
      <c r="B260" s="31"/>
      <c r="C260" s="31"/>
      <c r="D260" s="31"/>
      <c r="E260" s="31"/>
      <c r="F260" s="32" t="s">
        <v>57</v>
      </c>
      <c r="G260" s="74">
        <f>H260+J260+I260+K260</f>
        <v>0</v>
      </c>
      <c r="H260" s="74">
        <f>H262+H263</f>
        <v>0</v>
      </c>
      <c r="I260" s="74">
        <f>I262+I263</f>
        <v>0</v>
      </c>
      <c r="J260" s="74">
        <f>J262+J263</f>
        <v>0</v>
      </c>
      <c r="K260" s="74">
        <f>K262+K263</f>
        <v>0</v>
      </c>
      <c r="W260" s="74">
        <f>W262+W263</f>
        <v>0</v>
      </c>
      <c r="X260" s="74">
        <f>X262+X263</f>
        <v>0</v>
      </c>
    </row>
    <row r="261" spans="1:24" ht="12" customHeight="1" hidden="1">
      <c r="A261" s="25" t="s">
        <v>23</v>
      </c>
      <c r="B261" s="31"/>
      <c r="C261" s="31"/>
      <c r="D261" s="31"/>
      <c r="E261" s="31"/>
      <c r="F261" s="32"/>
      <c r="G261" s="74"/>
      <c r="H261" s="74"/>
      <c r="I261" s="74"/>
      <c r="J261" s="74"/>
      <c r="K261" s="74"/>
      <c r="W261" s="74"/>
      <c r="X261" s="74"/>
    </row>
    <row r="262" spans="1:24" ht="14.25" customHeight="1" hidden="1">
      <c r="A262" s="25" t="s">
        <v>36</v>
      </c>
      <c r="B262" s="31"/>
      <c r="C262" s="31"/>
      <c r="D262" s="31"/>
      <c r="E262" s="31"/>
      <c r="F262" s="32" t="s">
        <v>57</v>
      </c>
      <c r="G262" s="74">
        <f>H262+I262+J262+K262</f>
        <v>0</v>
      </c>
      <c r="H262" s="74"/>
      <c r="I262" s="74"/>
      <c r="J262" s="74"/>
      <c r="K262" s="74"/>
      <c r="W262" s="74"/>
      <c r="X262" s="74"/>
    </row>
    <row r="263" spans="1:24" ht="14.25" customHeight="1" hidden="1">
      <c r="A263" s="25" t="s">
        <v>37</v>
      </c>
      <c r="B263" s="31"/>
      <c r="C263" s="31"/>
      <c r="D263" s="31"/>
      <c r="E263" s="31"/>
      <c r="F263" s="32" t="s">
        <v>57</v>
      </c>
      <c r="G263" s="74">
        <f>H263+I263+J263+K263</f>
        <v>0</v>
      </c>
      <c r="H263" s="74"/>
      <c r="I263" s="74"/>
      <c r="J263" s="74"/>
      <c r="K263" s="74"/>
      <c r="W263" s="74"/>
      <c r="X263" s="74"/>
    </row>
    <row r="264" spans="1:24" ht="15.75" customHeight="1" hidden="1">
      <c r="A264" s="26"/>
      <c r="B264" s="31"/>
      <c r="C264" s="31"/>
      <c r="D264" s="31"/>
      <c r="E264" s="31"/>
      <c r="F264" s="31"/>
      <c r="G264" s="75"/>
      <c r="H264" s="75"/>
      <c r="I264" s="75"/>
      <c r="J264" s="75"/>
      <c r="K264" s="75"/>
      <c r="W264" s="75"/>
      <c r="X264" s="75"/>
    </row>
    <row r="265" spans="1:24" ht="25.5" customHeight="1">
      <c r="A265" s="36" t="s">
        <v>64</v>
      </c>
      <c r="B265" s="39" t="s">
        <v>88</v>
      </c>
      <c r="C265" s="39" t="s">
        <v>65</v>
      </c>
      <c r="D265" s="31" t="s">
        <v>173</v>
      </c>
      <c r="E265" s="39" t="s">
        <v>66</v>
      </c>
      <c r="F265" s="39"/>
      <c r="G265" s="73">
        <f aca="true" t="shared" si="23" ref="G265:G272">H265+I265+J265+K265</f>
        <v>10830.2</v>
      </c>
      <c r="H265" s="73">
        <f>H266+H282+H309+H354</f>
        <v>3917.8500000000004</v>
      </c>
      <c r="I265" s="73">
        <f>I266+I282+I309+I354</f>
        <v>1103.75</v>
      </c>
      <c r="J265" s="73">
        <f>J266+J282+J309+J354</f>
        <v>3042.75</v>
      </c>
      <c r="K265" s="73">
        <f>K266+K282+K309+K354</f>
        <v>2765.85</v>
      </c>
      <c r="W265" s="73">
        <f>W266+W282+W309+W354</f>
        <v>9509.61</v>
      </c>
      <c r="X265" s="73">
        <f>X266+X282+X309+X354</f>
        <v>9583.01</v>
      </c>
    </row>
    <row r="266" spans="1:24" ht="14.25" customHeight="1">
      <c r="A266" s="36" t="s">
        <v>146</v>
      </c>
      <c r="B266" s="31" t="s">
        <v>88</v>
      </c>
      <c r="C266" s="31" t="s">
        <v>147</v>
      </c>
      <c r="D266" s="31" t="s">
        <v>173</v>
      </c>
      <c r="E266" s="31" t="s">
        <v>66</v>
      </c>
      <c r="F266" s="31"/>
      <c r="G266" s="73">
        <f t="shared" si="23"/>
        <v>1456.2</v>
      </c>
      <c r="H266" s="73">
        <f>H267+H271+H269+H273+H275</f>
        <v>364.05</v>
      </c>
      <c r="I266" s="73">
        <f>I267+I271+I269+I273+I275</f>
        <v>164.05</v>
      </c>
      <c r="J266" s="73">
        <f>J267+J271+J269+J273+J275</f>
        <v>564.05</v>
      </c>
      <c r="K266" s="73">
        <f>K267+K271+K269+K273+K275</f>
        <v>364.04999999999995</v>
      </c>
      <c r="W266" s="73">
        <f>W267+W271+W269+W273+W275</f>
        <v>1456.2</v>
      </c>
      <c r="X266" s="73">
        <f>X267+X271+X269+X273+X275</f>
        <v>1456.2</v>
      </c>
    </row>
    <row r="267" spans="1:24" ht="23.25" customHeight="1" hidden="1">
      <c r="A267" s="30" t="s">
        <v>185</v>
      </c>
      <c r="B267" s="31" t="s">
        <v>88</v>
      </c>
      <c r="C267" s="31" t="s">
        <v>147</v>
      </c>
      <c r="D267" s="31" t="s">
        <v>186</v>
      </c>
      <c r="E267" s="31" t="s">
        <v>109</v>
      </c>
      <c r="F267" s="31"/>
      <c r="G267" s="75">
        <f t="shared" si="23"/>
        <v>0</v>
      </c>
      <c r="H267" s="75">
        <f>H268</f>
        <v>0</v>
      </c>
      <c r="I267" s="75">
        <f>I268</f>
        <v>0</v>
      </c>
      <c r="J267" s="75">
        <f>J268</f>
        <v>0</v>
      </c>
      <c r="K267" s="75">
        <f>K268</f>
        <v>0</v>
      </c>
      <c r="W267" s="75">
        <f>W268</f>
        <v>0</v>
      </c>
      <c r="X267" s="75">
        <f>X268</f>
        <v>0</v>
      </c>
    </row>
    <row r="268" spans="1:24" ht="14.25" customHeight="1" hidden="1">
      <c r="A268" s="26" t="s">
        <v>143</v>
      </c>
      <c r="B268" s="32" t="s">
        <v>88</v>
      </c>
      <c r="C268" s="32" t="s">
        <v>147</v>
      </c>
      <c r="D268" s="32" t="s">
        <v>186</v>
      </c>
      <c r="E268" s="32" t="s">
        <v>109</v>
      </c>
      <c r="F268" s="32" t="s">
        <v>51</v>
      </c>
      <c r="G268" s="74">
        <f t="shared" si="23"/>
        <v>0</v>
      </c>
      <c r="H268" s="74">
        <v>0</v>
      </c>
      <c r="I268" s="74">
        <v>0</v>
      </c>
      <c r="J268" s="74">
        <v>0</v>
      </c>
      <c r="K268" s="74">
        <v>0</v>
      </c>
      <c r="W268" s="74">
        <v>0</v>
      </c>
      <c r="X268" s="74">
        <v>0</v>
      </c>
    </row>
    <row r="269" spans="1:24" ht="37.5" customHeight="1">
      <c r="A269" s="30" t="s">
        <v>452</v>
      </c>
      <c r="B269" s="31" t="s">
        <v>88</v>
      </c>
      <c r="C269" s="31" t="s">
        <v>147</v>
      </c>
      <c r="D269" s="31" t="s">
        <v>186</v>
      </c>
      <c r="E269" s="31" t="s">
        <v>109</v>
      </c>
      <c r="F269" s="31"/>
      <c r="G269" s="75">
        <f>H269+I269+J269+K269</f>
        <v>1456.2</v>
      </c>
      <c r="H269" s="75">
        <f>H270</f>
        <v>364.05</v>
      </c>
      <c r="I269" s="75">
        <f>I270</f>
        <v>164.05</v>
      </c>
      <c r="J269" s="75">
        <f>J270</f>
        <v>564.05</v>
      </c>
      <c r="K269" s="75">
        <f>K270</f>
        <v>364.05</v>
      </c>
      <c r="W269" s="75">
        <f>W270</f>
        <v>1456.2</v>
      </c>
      <c r="X269" s="75">
        <f>X270</f>
        <v>1456.2</v>
      </c>
    </row>
    <row r="270" spans="1:24" ht="14.25" customHeight="1">
      <c r="A270" s="26" t="s">
        <v>143</v>
      </c>
      <c r="B270" s="32" t="s">
        <v>88</v>
      </c>
      <c r="C270" s="32" t="s">
        <v>147</v>
      </c>
      <c r="D270" s="32" t="s">
        <v>186</v>
      </c>
      <c r="E270" s="32" t="s">
        <v>109</v>
      </c>
      <c r="F270" s="32" t="s">
        <v>51</v>
      </c>
      <c r="G270" s="74">
        <f>H270+I270+J270+K270</f>
        <v>1456.2</v>
      </c>
      <c r="H270" s="74">
        <v>364.05</v>
      </c>
      <c r="I270" s="74">
        <f>364.05-200</f>
        <v>164.05</v>
      </c>
      <c r="J270" s="74">
        <f>364.05+200</f>
        <v>564.05</v>
      </c>
      <c r="K270" s="74">
        <v>364.05</v>
      </c>
      <c r="W270" s="74">
        <v>1456.2</v>
      </c>
      <c r="X270" s="74">
        <v>1456.2</v>
      </c>
    </row>
    <row r="271" spans="1:24" ht="44.25" customHeight="1" hidden="1">
      <c r="A271" s="30" t="s">
        <v>187</v>
      </c>
      <c r="B271" s="31" t="s">
        <v>88</v>
      </c>
      <c r="C271" s="31" t="s">
        <v>147</v>
      </c>
      <c r="D271" s="31" t="s">
        <v>188</v>
      </c>
      <c r="E271" s="31" t="s">
        <v>189</v>
      </c>
      <c r="F271" s="31"/>
      <c r="G271" s="75">
        <f t="shared" si="23"/>
        <v>-7.194245199571014E-14</v>
      </c>
      <c r="H271" s="75">
        <f>H272</f>
        <v>0</v>
      </c>
      <c r="I271" s="75">
        <f>I272</f>
        <v>0</v>
      </c>
      <c r="J271" s="75">
        <f>J272</f>
        <v>0</v>
      </c>
      <c r="K271" s="75">
        <f>K272</f>
        <v>-7.194245199571014E-14</v>
      </c>
      <c r="W271" s="75">
        <f>W272</f>
        <v>0</v>
      </c>
      <c r="X271" s="75">
        <f>X272</f>
        <v>-7.194245199571014E-14</v>
      </c>
    </row>
    <row r="272" spans="1:24" ht="17.25" customHeight="1" hidden="1">
      <c r="A272" s="25" t="s">
        <v>148</v>
      </c>
      <c r="B272" s="32" t="s">
        <v>88</v>
      </c>
      <c r="C272" s="32" t="s">
        <v>147</v>
      </c>
      <c r="D272" s="32" t="s">
        <v>188</v>
      </c>
      <c r="E272" s="32" t="s">
        <v>294</v>
      </c>
      <c r="F272" s="32" t="s">
        <v>67</v>
      </c>
      <c r="G272" s="74">
        <f t="shared" si="23"/>
        <v>-7.194245199571014E-14</v>
      </c>
      <c r="H272" s="74">
        <f>39.76-39.76</f>
        <v>0</v>
      </c>
      <c r="I272" s="74">
        <v>0</v>
      </c>
      <c r="J272" s="74">
        <v>0</v>
      </c>
      <c r="K272" s="74">
        <f>607.3-0.86936-127.18156-471.48865-7.76043</f>
        <v>-7.194245199571014E-14</v>
      </c>
      <c r="W272" s="74">
        <v>0</v>
      </c>
      <c r="X272" s="74">
        <f>607.3-0.86936-127.18156-471.48865-7.76043</f>
        <v>-7.194245199571014E-14</v>
      </c>
    </row>
    <row r="273" spans="1:24" ht="30.75" customHeight="1" hidden="1">
      <c r="A273" s="30" t="s">
        <v>317</v>
      </c>
      <c r="B273" s="31" t="s">
        <v>88</v>
      </c>
      <c r="C273" s="31" t="s">
        <v>147</v>
      </c>
      <c r="D273" s="31" t="s">
        <v>318</v>
      </c>
      <c r="E273" s="31" t="s">
        <v>109</v>
      </c>
      <c r="F273" s="31"/>
      <c r="G273" s="75">
        <f aca="true" t="shared" si="24" ref="G273:G279">H273+I273+J273+K273</f>
        <v>0</v>
      </c>
      <c r="H273" s="75">
        <f>H274</f>
        <v>0</v>
      </c>
      <c r="I273" s="75">
        <f>I274</f>
        <v>0</v>
      </c>
      <c r="J273" s="75">
        <f>J274</f>
        <v>0</v>
      </c>
      <c r="K273" s="75">
        <f>K274</f>
        <v>0</v>
      </c>
      <c r="W273" s="75">
        <f>W274</f>
        <v>0</v>
      </c>
      <c r="X273" s="75">
        <f>X274</f>
        <v>0</v>
      </c>
    </row>
    <row r="274" spans="1:24" ht="14.25" customHeight="1" hidden="1">
      <c r="A274" s="26" t="s">
        <v>143</v>
      </c>
      <c r="B274" s="32" t="s">
        <v>88</v>
      </c>
      <c r="C274" s="32" t="s">
        <v>147</v>
      </c>
      <c r="D274" s="32" t="s">
        <v>318</v>
      </c>
      <c r="E274" s="32" t="s">
        <v>109</v>
      </c>
      <c r="F274" s="32" t="s">
        <v>51</v>
      </c>
      <c r="G274" s="74">
        <f t="shared" si="24"/>
        <v>0</v>
      </c>
      <c r="H274" s="74">
        <v>0</v>
      </c>
      <c r="I274" s="74">
        <v>0</v>
      </c>
      <c r="J274" s="74">
        <v>0</v>
      </c>
      <c r="K274" s="74">
        <v>0</v>
      </c>
      <c r="W274" s="74">
        <v>0</v>
      </c>
      <c r="X274" s="74">
        <v>0</v>
      </c>
    </row>
    <row r="275" spans="1:24" ht="57" customHeight="1" hidden="1">
      <c r="A275" s="68" t="s">
        <v>387</v>
      </c>
      <c r="B275" s="31" t="s">
        <v>88</v>
      </c>
      <c r="C275" s="31" t="s">
        <v>147</v>
      </c>
      <c r="D275" s="31" t="s">
        <v>409</v>
      </c>
      <c r="E275" s="31" t="s">
        <v>66</v>
      </c>
      <c r="F275" s="31"/>
      <c r="G275" s="75">
        <f t="shared" si="24"/>
        <v>0</v>
      </c>
      <c r="H275" s="75">
        <f>H276+H278+H281</f>
        <v>0</v>
      </c>
      <c r="I275" s="75">
        <f>I276+I278+I281</f>
        <v>0</v>
      </c>
      <c r="J275" s="75">
        <f>J276+J278+J281</f>
        <v>0</v>
      </c>
      <c r="K275" s="75">
        <f>K276+K278+K281</f>
        <v>0</v>
      </c>
      <c r="W275" s="75">
        <f>W276+W278+W281</f>
        <v>0</v>
      </c>
      <c r="X275" s="75">
        <f>X276+X278+X281</f>
        <v>0</v>
      </c>
    </row>
    <row r="276" spans="1:24" ht="57.75" customHeight="1" hidden="1">
      <c r="A276" s="61" t="s">
        <v>388</v>
      </c>
      <c r="B276" s="32" t="s">
        <v>88</v>
      </c>
      <c r="C276" s="32" t="s">
        <v>147</v>
      </c>
      <c r="D276" s="32" t="s">
        <v>404</v>
      </c>
      <c r="E276" s="34" t="s">
        <v>109</v>
      </c>
      <c r="F276" s="34"/>
      <c r="G276" s="71">
        <f t="shared" si="24"/>
        <v>0</v>
      </c>
      <c r="H276" s="71">
        <f>H277</f>
        <v>0</v>
      </c>
      <c r="I276" s="71">
        <f>I277</f>
        <v>0</v>
      </c>
      <c r="J276" s="71">
        <f>J277</f>
        <v>0</v>
      </c>
      <c r="K276" s="71">
        <f>K277</f>
        <v>0</v>
      </c>
      <c r="W276" s="71">
        <f>W277</f>
        <v>0</v>
      </c>
      <c r="X276" s="71">
        <f>X277</f>
        <v>0</v>
      </c>
    </row>
    <row r="277" spans="1:24" ht="14.25" customHeight="1" hidden="1">
      <c r="A277" s="43" t="s">
        <v>344</v>
      </c>
      <c r="B277" s="32" t="s">
        <v>88</v>
      </c>
      <c r="C277" s="32" t="s">
        <v>147</v>
      </c>
      <c r="D277" s="32" t="s">
        <v>404</v>
      </c>
      <c r="E277" s="32" t="s">
        <v>109</v>
      </c>
      <c r="F277" s="32" t="s">
        <v>51</v>
      </c>
      <c r="G277" s="74">
        <f t="shared" si="24"/>
        <v>0</v>
      </c>
      <c r="H277" s="74">
        <f>500-500</f>
        <v>0</v>
      </c>
      <c r="I277" s="74">
        <f>3911.58507+1119.59737-5031.18244</f>
        <v>0</v>
      </c>
      <c r="J277" s="74">
        <f>505.396-505.396</f>
        <v>0</v>
      </c>
      <c r="K277" s="74">
        <v>0</v>
      </c>
      <c r="W277" s="74">
        <f>505.396-505.396</f>
        <v>0</v>
      </c>
      <c r="X277" s="74">
        <v>0</v>
      </c>
    </row>
    <row r="278" spans="1:24" ht="73.5" customHeight="1" hidden="1">
      <c r="A278" s="61" t="s">
        <v>390</v>
      </c>
      <c r="B278" s="34" t="s">
        <v>88</v>
      </c>
      <c r="C278" s="34" t="s">
        <v>147</v>
      </c>
      <c r="D278" s="34" t="s">
        <v>405</v>
      </c>
      <c r="E278" s="34" t="s">
        <v>109</v>
      </c>
      <c r="F278" s="34"/>
      <c r="G278" s="71">
        <f t="shared" si="24"/>
        <v>0</v>
      </c>
      <c r="H278" s="71">
        <f>H279</f>
        <v>0</v>
      </c>
      <c r="I278" s="71">
        <f>I279</f>
        <v>0</v>
      </c>
      <c r="J278" s="71">
        <f>J279</f>
        <v>0</v>
      </c>
      <c r="K278" s="71">
        <f>K279</f>
        <v>0</v>
      </c>
      <c r="W278" s="71">
        <f>W279</f>
        <v>0</v>
      </c>
      <c r="X278" s="71">
        <f>X279</f>
        <v>0</v>
      </c>
    </row>
    <row r="279" spans="1:24" ht="14.25" customHeight="1" hidden="1">
      <c r="A279" s="25" t="s">
        <v>153</v>
      </c>
      <c r="B279" s="34" t="s">
        <v>88</v>
      </c>
      <c r="C279" s="34" t="s">
        <v>147</v>
      </c>
      <c r="D279" s="34" t="s">
        <v>405</v>
      </c>
      <c r="E279" s="32" t="s">
        <v>109</v>
      </c>
      <c r="F279" s="32" t="s">
        <v>51</v>
      </c>
      <c r="G279" s="74">
        <f t="shared" si="24"/>
        <v>0</v>
      </c>
      <c r="H279" s="74">
        <f>1500-1500</f>
        <v>0</v>
      </c>
      <c r="I279" s="74">
        <f>434.62056-434.62056</f>
        <v>0</v>
      </c>
      <c r="J279" s="74">
        <f>505.396-505.396</f>
        <v>0</v>
      </c>
      <c r="K279" s="74">
        <v>0</v>
      </c>
      <c r="W279" s="74">
        <f>505.396-505.396</f>
        <v>0</v>
      </c>
      <c r="X279" s="74">
        <v>0</v>
      </c>
    </row>
    <row r="280" spans="1:24" ht="24.75" customHeight="1" hidden="1">
      <c r="A280" s="61" t="s">
        <v>414</v>
      </c>
      <c r="B280" s="34" t="s">
        <v>88</v>
      </c>
      <c r="C280" s="34" t="s">
        <v>147</v>
      </c>
      <c r="D280" s="34" t="s">
        <v>413</v>
      </c>
      <c r="E280" s="32" t="s">
        <v>109</v>
      </c>
      <c r="F280" s="32"/>
      <c r="G280" s="71">
        <f>H280+I280+J280+K280</f>
        <v>0</v>
      </c>
      <c r="H280" s="71">
        <f>H281</f>
        <v>0</v>
      </c>
      <c r="I280" s="71">
        <f>I281</f>
        <v>0</v>
      </c>
      <c r="J280" s="71">
        <f>J281</f>
        <v>0</v>
      </c>
      <c r="K280" s="71">
        <f>K281</f>
        <v>0</v>
      </c>
      <c r="W280" s="71">
        <f>W281</f>
        <v>0</v>
      </c>
      <c r="X280" s="71">
        <f>X281</f>
        <v>0</v>
      </c>
    </row>
    <row r="281" spans="1:24" ht="14.25" customHeight="1" hidden="1">
      <c r="A281" s="26" t="s">
        <v>143</v>
      </c>
      <c r="B281" s="34" t="s">
        <v>88</v>
      </c>
      <c r="C281" s="34" t="s">
        <v>147</v>
      </c>
      <c r="D281" s="34" t="s">
        <v>413</v>
      </c>
      <c r="E281" s="32" t="s">
        <v>109</v>
      </c>
      <c r="F281" s="32" t="s">
        <v>52</v>
      </c>
      <c r="G281" s="74">
        <f>H281+I281+J281+K281</f>
        <v>0</v>
      </c>
      <c r="H281" s="74">
        <f>1500-1500</f>
        <v>0</v>
      </c>
      <c r="I281" s="74">
        <f>45-45</f>
        <v>0</v>
      </c>
      <c r="J281" s="74">
        <f>45-45</f>
        <v>0</v>
      </c>
      <c r="K281" s="74"/>
      <c r="W281" s="74">
        <f>45-45</f>
        <v>0</v>
      </c>
      <c r="X281" s="74"/>
    </row>
    <row r="282" spans="1:24" ht="15" customHeight="1">
      <c r="A282" s="36" t="s">
        <v>68</v>
      </c>
      <c r="B282" s="39" t="s">
        <v>88</v>
      </c>
      <c r="C282" s="39" t="s">
        <v>69</v>
      </c>
      <c r="D282" s="31" t="s">
        <v>173</v>
      </c>
      <c r="E282" s="39" t="s">
        <v>66</v>
      </c>
      <c r="F282" s="39"/>
      <c r="G282" s="73">
        <f>SUM(H282:K282)</f>
        <v>2838</v>
      </c>
      <c r="H282" s="73">
        <f>H285+H287+H295+H302+H292</f>
        <v>2438</v>
      </c>
      <c r="I282" s="73">
        <f>I285+I287+I295+I302+I292</f>
        <v>0</v>
      </c>
      <c r="J282" s="73">
        <f>J285+J287+J295+J302+J292</f>
        <v>400</v>
      </c>
      <c r="K282" s="73">
        <f>K285+K287+K295+K302+K292</f>
        <v>0</v>
      </c>
      <c r="W282" s="73">
        <f>W285+W287+W295+W302+W292</f>
        <v>0</v>
      </c>
      <c r="X282" s="73">
        <f>X285+X287+X295+X302+X292</f>
        <v>0</v>
      </c>
    </row>
    <row r="283" spans="1:24" ht="93.75" customHeight="1" hidden="1">
      <c r="A283" s="41" t="s">
        <v>183</v>
      </c>
      <c r="B283" s="32" t="s">
        <v>88</v>
      </c>
      <c r="C283" s="31" t="s">
        <v>69</v>
      </c>
      <c r="D283" s="31" t="s">
        <v>184</v>
      </c>
      <c r="E283" s="31" t="s">
        <v>40</v>
      </c>
      <c r="F283" s="31"/>
      <c r="G283" s="75">
        <f>G284</f>
        <v>0</v>
      </c>
      <c r="H283" s="75">
        <f>H284</f>
        <v>0</v>
      </c>
      <c r="I283" s="75">
        <f>I284</f>
        <v>0</v>
      </c>
      <c r="J283" s="75">
        <f>J284</f>
        <v>0</v>
      </c>
      <c r="K283" s="75">
        <f>K284</f>
        <v>0</v>
      </c>
      <c r="W283" s="75">
        <f>W284</f>
        <v>0</v>
      </c>
      <c r="X283" s="75">
        <f>X284</f>
        <v>0</v>
      </c>
    </row>
    <row r="284" spans="1:24" ht="15" customHeight="1" hidden="1">
      <c r="A284" s="25" t="s">
        <v>116</v>
      </c>
      <c r="B284" s="32" t="s">
        <v>88</v>
      </c>
      <c r="C284" s="32" t="s">
        <v>69</v>
      </c>
      <c r="D284" s="32" t="s">
        <v>184</v>
      </c>
      <c r="E284" s="32" t="s">
        <v>151</v>
      </c>
      <c r="F284" s="32" t="s">
        <v>83</v>
      </c>
      <c r="G284" s="74">
        <f>H284+I284+J284+K284</f>
        <v>0</v>
      </c>
      <c r="H284" s="74">
        <v>0</v>
      </c>
      <c r="I284" s="74">
        <v>0</v>
      </c>
      <c r="J284" s="74">
        <v>0</v>
      </c>
      <c r="K284" s="74">
        <v>0</v>
      </c>
      <c r="W284" s="74">
        <v>0</v>
      </c>
      <c r="X284" s="74">
        <v>0</v>
      </c>
    </row>
    <row r="285" spans="1:24" ht="93" customHeight="1">
      <c r="A285" s="41" t="s">
        <v>183</v>
      </c>
      <c r="B285" s="32" t="s">
        <v>88</v>
      </c>
      <c r="C285" s="31" t="s">
        <v>69</v>
      </c>
      <c r="D285" s="31" t="s">
        <v>331</v>
      </c>
      <c r="E285" s="31" t="s">
        <v>40</v>
      </c>
      <c r="F285" s="31"/>
      <c r="G285" s="75">
        <f>G286</f>
        <v>400</v>
      </c>
      <c r="H285" s="75">
        <f>H286</f>
        <v>0</v>
      </c>
      <c r="I285" s="75">
        <f>I286</f>
        <v>0</v>
      </c>
      <c r="J285" s="75">
        <f>J286</f>
        <v>400</v>
      </c>
      <c r="K285" s="75">
        <f>K286</f>
        <v>0</v>
      </c>
      <c r="W285" s="75">
        <f>W286</f>
        <v>0</v>
      </c>
      <c r="X285" s="75">
        <f>X286</f>
        <v>0</v>
      </c>
    </row>
    <row r="286" spans="1:24" ht="12" customHeight="1">
      <c r="A286" s="25" t="s">
        <v>116</v>
      </c>
      <c r="B286" s="32" t="s">
        <v>88</v>
      </c>
      <c r="C286" s="32" t="s">
        <v>69</v>
      </c>
      <c r="D286" s="32" t="s">
        <v>331</v>
      </c>
      <c r="E286" s="32" t="s">
        <v>151</v>
      </c>
      <c r="F286" s="32" t="s">
        <v>83</v>
      </c>
      <c r="G286" s="74">
        <f aca="true" t="shared" si="25" ref="G286:G294">H286+I286+J286+K286</f>
        <v>400</v>
      </c>
      <c r="H286" s="74">
        <v>0</v>
      </c>
      <c r="I286" s="74">
        <v>0</v>
      </c>
      <c r="J286" s="74">
        <v>400</v>
      </c>
      <c r="K286" s="74">
        <v>0</v>
      </c>
      <c r="R286" s="14" t="s">
        <v>449</v>
      </c>
      <c r="W286" s="74">
        <v>0</v>
      </c>
      <c r="X286" s="74">
        <v>0</v>
      </c>
    </row>
    <row r="287" spans="1:24" ht="45.75" customHeight="1" hidden="1">
      <c r="A287" s="30" t="s">
        <v>312</v>
      </c>
      <c r="B287" s="31" t="s">
        <v>88</v>
      </c>
      <c r="C287" s="31" t="s">
        <v>69</v>
      </c>
      <c r="D287" s="31" t="s">
        <v>307</v>
      </c>
      <c r="E287" s="31" t="s">
        <v>66</v>
      </c>
      <c r="F287" s="31"/>
      <c r="G287" s="75">
        <f t="shared" si="25"/>
        <v>0</v>
      </c>
      <c r="H287" s="75">
        <f>H288+H290</f>
        <v>0</v>
      </c>
      <c r="I287" s="75">
        <f>I288+I290</f>
        <v>0</v>
      </c>
      <c r="J287" s="75">
        <f>J288+J290</f>
        <v>0</v>
      </c>
      <c r="K287" s="75">
        <f>K288+K290</f>
        <v>0</v>
      </c>
      <c r="W287" s="75">
        <f>W288+W290</f>
        <v>0</v>
      </c>
      <c r="X287" s="75">
        <f>X288+X290</f>
        <v>0</v>
      </c>
    </row>
    <row r="288" spans="1:24" ht="45" customHeight="1" hidden="1">
      <c r="A288" s="35" t="s">
        <v>399</v>
      </c>
      <c r="B288" s="34" t="s">
        <v>88</v>
      </c>
      <c r="C288" s="34" t="s">
        <v>69</v>
      </c>
      <c r="D288" s="34" t="s">
        <v>308</v>
      </c>
      <c r="E288" s="34" t="s">
        <v>109</v>
      </c>
      <c r="F288" s="34"/>
      <c r="G288" s="71">
        <f t="shared" si="25"/>
        <v>0</v>
      </c>
      <c r="H288" s="71">
        <f>H289</f>
        <v>0</v>
      </c>
      <c r="I288" s="71">
        <f>I289</f>
        <v>0</v>
      </c>
      <c r="J288" s="71">
        <f>J289</f>
        <v>0</v>
      </c>
      <c r="K288" s="71">
        <f>K289</f>
        <v>0</v>
      </c>
      <c r="W288" s="71">
        <f>W289</f>
        <v>0</v>
      </c>
      <c r="X288" s="71">
        <f>X289</f>
        <v>0</v>
      </c>
    </row>
    <row r="289" spans="1:24" ht="12" customHeight="1" hidden="1">
      <c r="A289" s="25" t="s">
        <v>30</v>
      </c>
      <c r="B289" s="32" t="s">
        <v>88</v>
      </c>
      <c r="C289" s="32" t="s">
        <v>69</v>
      </c>
      <c r="D289" s="32" t="s">
        <v>308</v>
      </c>
      <c r="E289" s="32" t="s">
        <v>109</v>
      </c>
      <c r="F289" s="32" t="s">
        <v>52</v>
      </c>
      <c r="G289" s="74">
        <f t="shared" si="25"/>
        <v>0</v>
      </c>
      <c r="H289" s="74">
        <v>0</v>
      </c>
      <c r="I289" s="74">
        <v>0</v>
      </c>
      <c r="J289" s="74">
        <f>505.396-505.396</f>
        <v>0</v>
      </c>
      <c r="K289" s="74">
        <v>0</v>
      </c>
      <c r="W289" s="74">
        <f>505.396-505.396</f>
        <v>0</v>
      </c>
      <c r="X289" s="74">
        <v>0</v>
      </c>
    </row>
    <row r="290" spans="1:24" ht="42" customHeight="1" hidden="1">
      <c r="A290" s="35" t="s">
        <v>400</v>
      </c>
      <c r="B290" s="34" t="s">
        <v>88</v>
      </c>
      <c r="C290" s="34" t="s">
        <v>69</v>
      </c>
      <c r="D290" s="34" t="s">
        <v>398</v>
      </c>
      <c r="E290" s="34" t="s">
        <v>109</v>
      </c>
      <c r="F290" s="34"/>
      <c r="G290" s="71">
        <f t="shared" si="25"/>
        <v>0</v>
      </c>
      <c r="H290" s="71">
        <f>H291</f>
        <v>0</v>
      </c>
      <c r="I290" s="71">
        <f>I291</f>
        <v>0</v>
      </c>
      <c r="J290" s="71">
        <f>J291</f>
        <v>0</v>
      </c>
      <c r="K290" s="71">
        <f>K291</f>
        <v>0</v>
      </c>
      <c r="W290" s="71">
        <f>W291</f>
        <v>0</v>
      </c>
      <c r="X290" s="71">
        <f>X291</f>
        <v>0</v>
      </c>
    </row>
    <row r="291" spans="1:24" ht="28.5" customHeight="1" hidden="1">
      <c r="A291" s="25" t="s">
        <v>153</v>
      </c>
      <c r="B291" s="32" t="s">
        <v>88</v>
      </c>
      <c r="C291" s="32" t="s">
        <v>69</v>
      </c>
      <c r="D291" s="34" t="s">
        <v>398</v>
      </c>
      <c r="E291" s="32" t="s">
        <v>109</v>
      </c>
      <c r="F291" s="32" t="s">
        <v>51</v>
      </c>
      <c r="G291" s="74">
        <f t="shared" si="25"/>
        <v>0</v>
      </c>
      <c r="H291" s="74">
        <v>0</v>
      </c>
      <c r="I291" s="74">
        <f>600-600</f>
        <v>0</v>
      </c>
      <c r="J291" s="74">
        <f>600-600</f>
        <v>0</v>
      </c>
      <c r="K291" s="74">
        <v>0</v>
      </c>
      <c r="W291" s="74">
        <f>600-600</f>
        <v>0</v>
      </c>
      <c r="X291" s="74">
        <v>0</v>
      </c>
    </row>
    <row r="292" spans="1:24" s="14" customFormat="1" ht="42" customHeight="1" hidden="1">
      <c r="A292" s="30" t="s">
        <v>312</v>
      </c>
      <c r="B292" s="31" t="s">
        <v>88</v>
      </c>
      <c r="C292" s="31" t="s">
        <v>69</v>
      </c>
      <c r="D292" s="31" t="s">
        <v>307</v>
      </c>
      <c r="E292" s="31" t="s">
        <v>66</v>
      </c>
      <c r="F292" s="31"/>
      <c r="G292" s="75">
        <f t="shared" si="25"/>
        <v>0</v>
      </c>
      <c r="H292" s="75">
        <f aca="true" t="shared" si="26" ref="H292:K293">H293</f>
        <v>0</v>
      </c>
      <c r="I292" s="75">
        <f t="shared" si="26"/>
        <v>0</v>
      </c>
      <c r="J292" s="75">
        <f t="shared" si="26"/>
        <v>0</v>
      </c>
      <c r="K292" s="75">
        <f t="shared" si="26"/>
        <v>0</v>
      </c>
      <c r="W292" s="75">
        <f>W293</f>
        <v>0</v>
      </c>
      <c r="X292" s="75">
        <f>X293</f>
        <v>0</v>
      </c>
    </row>
    <row r="293" spans="1:24" s="14" customFormat="1" ht="45" customHeight="1" hidden="1">
      <c r="A293" s="61" t="s">
        <v>429</v>
      </c>
      <c r="B293" s="34" t="s">
        <v>88</v>
      </c>
      <c r="C293" s="34" t="s">
        <v>69</v>
      </c>
      <c r="D293" s="34" t="s">
        <v>398</v>
      </c>
      <c r="E293" s="34" t="s">
        <v>109</v>
      </c>
      <c r="F293" s="34"/>
      <c r="G293" s="71">
        <f t="shared" si="25"/>
        <v>0</v>
      </c>
      <c r="H293" s="71">
        <f t="shared" si="26"/>
        <v>0</v>
      </c>
      <c r="I293" s="71">
        <f t="shared" si="26"/>
        <v>0</v>
      </c>
      <c r="J293" s="71">
        <f t="shared" si="26"/>
        <v>0</v>
      </c>
      <c r="K293" s="71">
        <f t="shared" si="26"/>
        <v>0</v>
      </c>
      <c r="W293" s="71">
        <f>W294</f>
        <v>0</v>
      </c>
      <c r="X293" s="71">
        <f>X294</f>
        <v>0</v>
      </c>
    </row>
    <row r="294" spans="1:24" s="14" customFormat="1" ht="28.5" customHeight="1" hidden="1">
      <c r="A294" s="25" t="s">
        <v>153</v>
      </c>
      <c r="B294" s="32" t="s">
        <v>88</v>
      </c>
      <c r="C294" s="32" t="s">
        <v>69</v>
      </c>
      <c r="D294" s="34" t="s">
        <v>398</v>
      </c>
      <c r="E294" s="32" t="s">
        <v>109</v>
      </c>
      <c r="F294" s="32" t="s">
        <v>51</v>
      </c>
      <c r="G294" s="74">
        <f t="shared" si="25"/>
        <v>0</v>
      </c>
      <c r="H294" s="74">
        <v>0</v>
      </c>
      <c r="I294" s="74">
        <f>600-600</f>
        <v>0</v>
      </c>
      <c r="J294" s="74">
        <f>600-600</f>
        <v>0</v>
      </c>
      <c r="K294" s="74"/>
      <c r="W294" s="74">
        <f>600-600</f>
        <v>0</v>
      </c>
      <c r="X294" s="74"/>
    </row>
    <row r="295" spans="1:24" ht="36" customHeight="1" hidden="1">
      <c r="A295" s="30" t="s">
        <v>366</v>
      </c>
      <c r="B295" s="31" t="s">
        <v>88</v>
      </c>
      <c r="C295" s="31" t="s">
        <v>69</v>
      </c>
      <c r="D295" s="31" t="s">
        <v>268</v>
      </c>
      <c r="E295" s="31" t="s">
        <v>66</v>
      </c>
      <c r="F295" s="31"/>
      <c r="G295" s="75">
        <f aca="true" t="shared" si="27" ref="G295:G309">H295+I295+J295+K295</f>
        <v>0</v>
      </c>
      <c r="H295" s="75">
        <f>H296+H298+H300</f>
        <v>0</v>
      </c>
      <c r="I295" s="75">
        <f>I296+I298+I300</f>
        <v>0</v>
      </c>
      <c r="J295" s="75">
        <f>J296+J298+J300</f>
        <v>0</v>
      </c>
      <c r="K295" s="75">
        <f>K296+K298+K300</f>
        <v>0</v>
      </c>
      <c r="W295" s="75">
        <f>W296+W298+W300</f>
        <v>0</v>
      </c>
      <c r="X295" s="75">
        <f>X296+X298+X300</f>
        <v>0</v>
      </c>
    </row>
    <row r="296" spans="1:24" ht="28.5" customHeight="1" hidden="1">
      <c r="A296" s="35" t="s">
        <v>369</v>
      </c>
      <c r="B296" s="34" t="s">
        <v>88</v>
      </c>
      <c r="C296" s="34" t="s">
        <v>69</v>
      </c>
      <c r="D296" s="34" t="s">
        <v>269</v>
      </c>
      <c r="E296" s="34" t="s">
        <v>109</v>
      </c>
      <c r="F296" s="34"/>
      <c r="G296" s="71">
        <f t="shared" si="27"/>
        <v>0</v>
      </c>
      <c r="H296" s="71">
        <f>H297</f>
        <v>0</v>
      </c>
      <c r="I296" s="71">
        <f>I297</f>
        <v>0</v>
      </c>
      <c r="J296" s="71">
        <f>J297</f>
        <v>0</v>
      </c>
      <c r="K296" s="71">
        <f>K297</f>
        <v>0</v>
      </c>
      <c r="W296" s="71">
        <f>W297</f>
        <v>0</v>
      </c>
      <c r="X296" s="71">
        <f>X297</f>
        <v>0</v>
      </c>
    </row>
    <row r="297" spans="1:24" ht="18" customHeight="1" hidden="1">
      <c r="A297" s="25" t="s">
        <v>153</v>
      </c>
      <c r="B297" s="32" t="s">
        <v>88</v>
      </c>
      <c r="C297" s="32" t="s">
        <v>69</v>
      </c>
      <c r="D297" s="34" t="s">
        <v>269</v>
      </c>
      <c r="E297" s="32" t="s">
        <v>109</v>
      </c>
      <c r="F297" s="32" t="s">
        <v>51</v>
      </c>
      <c r="G297" s="74">
        <f t="shared" si="27"/>
        <v>0</v>
      </c>
      <c r="H297" s="74">
        <f>500-500</f>
        <v>0</v>
      </c>
      <c r="I297" s="74">
        <f>500-500</f>
        <v>0</v>
      </c>
      <c r="J297" s="74"/>
      <c r="K297" s="74"/>
      <c r="W297" s="74"/>
      <c r="X297" s="74"/>
    </row>
    <row r="298" spans="1:24" ht="23.25" customHeight="1" hidden="1">
      <c r="A298" s="35" t="s">
        <v>370</v>
      </c>
      <c r="B298" s="34" t="s">
        <v>88</v>
      </c>
      <c r="C298" s="34" t="s">
        <v>69</v>
      </c>
      <c r="D298" s="34" t="s">
        <v>365</v>
      </c>
      <c r="E298" s="34" t="s">
        <v>109</v>
      </c>
      <c r="F298" s="34"/>
      <c r="G298" s="71">
        <f t="shared" si="27"/>
        <v>0</v>
      </c>
      <c r="H298" s="71">
        <f>H299</f>
        <v>0</v>
      </c>
      <c r="I298" s="71">
        <f>I299</f>
        <v>0</v>
      </c>
      <c r="J298" s="71">
        <f>J299</f>
        <v>0</v>
      </c>
      <c r="K298" s="71">
        <f>K299</f>
        <v>0</v>
      </c>
      <c r="W298" s="71">
        <f>W299</f>
        <v>0</v>
      </c>
      <c r="X298" s="71">
        <f>X299</f>
        <v>0</v>
      </c>
    </row>
    <row r="299" spans="1:24" ht="21" customHeight="1" hidden="1">
      <c r="A299" s="25" t="s">
        <v>153</v>
      </c>
      <c r="B299" s="32" t="s">
        <v>88</v>
      </c>
      <c r="C299" s="32" t="s">
        <v>69</v>
      </c>
      <c r="D299" s="34" t="s">
        <v>365</v>
      </c>
      <c r="E299" s="32" t="s">
        <v>109</v>
      </c>
      <c r="F299" s="32" t="s">
        <v>51</v>
      </c>
      <c r="G299" s="74">
        <f t="shared" si="27"/>
        <v>0</v>
      </c>
      <c r="H299" s="74">
        <f>1500-1500</f>
        <v>0</v>
      </c>
      <c r="I299" s="74">
        <f>1500-1500</f>
        <v>0</v>
      </c>
      <c r="J299" s="74"/>
      <c r="K299" s="74"/>
      <c r="W299" s="74"/>
      <c r="X299" s="74"/>
    </row>
    <row r="300" spans="1:24" ht="45.75" customHeight="1" hidden="1">
      <c r="A300" s="61" t="s">
        <v>419</v>
      </c>
      <c r="B300" s="34" t="s">
        <v>88</v>
      </c>
      <c r="C300" s="34" t="s">
        <v>69</v>
      </c>
      <c r="D300" s="34" t="s">
        <v>418</v>
      </c>
      <c r="E300" s="34" t="s">
        <v>109</v>
      </c>
      <c r="F300" s="34"/>
      <c r="G300" s="71">
        <f>H300+I300+J300+K300</f>
        <v>0</v>
      </c>
      <c r="H300" s="71">
        <f>H301</f>
        <v>0</v>
      </c>
      <c r="I300" s="71">
        <f>I301</f>
        <v>0</v>
      </c>
      <c r="J300" s="71">
        <f>J301</f>
        <v>0</v>
      </c>
      <c r="K300" s="71">
        <f>K301</f>
        <v>0</v>
      </c>
      <c r="W300" s="71">
        <f>W301</f>
        <v>0</v>
      </c>
      <c r="X300" s="71">
        <f>X301</f>
        <v>0</v>
      </c>
    </row>
    <row r="301" spans="1:24" ht="21" customHeight="1" hidden="1">
      <c r="A301" s="25" t="s">
        <v>153</v>
      </c>
      <c r="B301" s="32" t="s">
        <v>88</v>
      </c>
      <c r="C301" s="32" t="s">
        <v>69</v>
      </c>
      <c r="D301" s="34" t="s">
        <v>418</v>
      </c>
      <c r="E301" s="32" t="s">
        <v>109</v>
      </c>
      <c r="F301" s="32" t="s">
        <v>51</v>
      </c>
      <c r="G301" s="74">
        <f>H301+I301+J301+K301</f>
        <v>0</v>
      </c>
      <c r="H301" s="74">
        <f>1500-1500</f>
        <v>0</v>
      </c>
      <c r="I301" s="74">
        <f>1500-1500</f>
        <v>0</v>
      </c>
      <c r="J301" s="74"/>
      <c r="K301" s="74">
        <v>0</v>
      </c>
      <c r="W301" s="74"/>
      <c r="X301" s="74">
        <v>0</v>
      </c>
    </row>
    <row r="302" spans="1:24" s="5" customFormat="1" ht="70.5" customHeight="1">
      <c r="A302" s="30" t="s">
        <v>464</v>
      </c>
      <c r="B302" s="31" t="s">
        <v>88</v>
      </c>
      <c r="C302" s="31" t="s">
        <v>69</v>
      </c>
      <c r="D302" s="31" t="s">
        <v>456</v>
      </c>
      <c r="E302" s="31" t="s">
        <v>66</v>
      </c>
      <c r="F302" s="31"/>
      <c r="G302" s="75">
        <f t="shared" si="27"/>
        <v>2438</v>
      </c>
      <c r="H302" s="75">
        <f>H303+H305+H307</f>
        <v>2438</v>
      </c>
      <c r="I302" s="75">
        <f>I303+I305+I307</f>
        <v>0</v>
      </c>
      <c r="J302" s="75">
        <f>J303+J305+J307</f>
        <v>0</v>
      </c>
      <c r="K302" s="75">
        <f>K303+K305+K307</f>
        <v>0</v>
      </c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75">
        <f>W303+W305+W307</f>
        <v>0</v>
      </c>
      <c r="X302" s="75">
        <f>X303+X305+X307</f>
        <v>0</v>
      </c>
    </row>
    <row r="303" spans="1:24" s="5" customFormat="1" ht="24.75" customHeight="1" hidden="1">
      <c r="A303" s="35" t="s">
        <v>371</v>
      </c>
      <c r="B303" s="34" t="s">
        <v>88</v>
      </c>
      <c r="C303" s="34" t="s">
        <v>69</v>
      </c>
      <c r="D303" s="34" t="s">
        <v>367</v>
      </c>
      <c r="E303" s="34" t="s">
        <v>55</v>
      </c>
      <c r="F303" s="34"/>
      <c r="G303" s="71">
        <f t="shared" si="27"/>
        <v>0</v>
      </c>
      <c r="H303" s="71">
        <f aca="true" t="shared" si="28" ref="H303:K307">H304</f>
        <v>0</v>
      </c>
      <c r="I303" s="71">
        <f t="shared" si="28"/>
        <v>0</v>
      </c>
      <c r="J303" s="71">
        <f t="shared" si="28"/>
        <v>0</v>
      </c>
      <c r="K303" s="71">
        <f t="shared" si="28"/>
        <v>0</v>
      </c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71">
        <f aca="true" t="shared" si="29" ref="W303:X307">W304</f>
        <v>0</v>
      </c>
      <c r="X303" s="71">
        <f t="shared" si="29"/>
        <v>0</v>
      </c>
    </row>
    <row r="304" spans="1:24" s="5" customFormat="1" ht="20.25" customHeight="1" hidden="1">
      <c r="A304" s="43" t="s">
        <v>344</v>
      </c>
      <c r="B304" s="32" t="s">
        <v>88</v>
      </c>
      <c r="C304" s="32" t="s">
        <v>69</v>
      </c>
      <c r="D304" s="34" t="s">
        <v>367</v>
      </c>
      <c r="E304" s="32" t="s">
        <v>136</v>
      </c>
      <c r="F304" s="32" t="s">
        <v>54</v>
      </c>
      <c r="G304" s="74">
        <f t="shared" si="27"/>
        <v>0</v>
      </c>
      <c r="H304" s="74"/>
      <c r="I304" s="74">
        <v>0</v>
      </c>
      <c r="J304" s="74">
        <f>505.396-505.396</f>
        <v>0</v>
      </c>
      <c r="K304" s="74">
        <v>0</v>
      </c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74">
        <f>505.396-505.396</f>
        <v>0</v>
      </c>
      <c r="X304" s="74">
        <v>0</v>
      </c>
    </row>
    <row r="305" spans="1:24" s="5" customFormat="1" ht="88.5" customHeight="1" hidden="1">
      <c r="A305" s="43" t="s">
        <v>427</v>
      </c>
      <c r="B305" s="32" t="s">
        <v>88</v>
      </c>
      <c r="C305" s="32" t="s">
        <v>69</v>
      </c>
      <c r="D305" s="34" t="s">
        <v>428</v>
      </c>
      <c r="E305" s="32" t="s">
        <v>109</v>
      </c>
      <c r="F305" s="32"/>
      <c r="G305" s="71">
        <f>H305+I305+J305+K305</f>
        <v>0</v>
      </c>
      <c r="H305" s="71">
        <f t="shared" si="28"/>
        <v>0</v>
      </c>
      <c r="I305" s="71">
        <f t="shared" si="28"/>
        <v>0</v>
      </c>
      <c r="J305" s="71">
        <f t="shared" si="28"/>
        <v>0</v>
      </c>
      <c r="K305" s="71">
        <f t="shared" si="28"/>
        <v>0</v>
      </c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71">
        <f t="shared" si="29"/>
        <v>0</v>
      </c>
      <c r="X305" s="71">
        <f t="shared" si="29"/>
        <v>0</v>
      </c>
    </row>
    <row r="306" spans="1:24" s="5" customFormat="1" ht="20.25" customHeight="1" hidden="1">
      <c r="A306" s="26" t="s">
        <v>30</v>
      </c>
      <c r="B306" s="32" t="s">
        <v>88</v>
      </c>
      <c r="C306" s="32" t="s">
        <v>69</v>
      </c>
      <c r="D306" s="34" t="s">
        <v>428</v>
      </c>
      <c r="E306" s="32" t="s">
        <v>109</v>
      </c>
      <c r="F306" s="32" t="s">
        <v>52</v>
      </c>
      <c r="G306" s="74">
        <f>H306+I306+J306+K306</f>
        <v>0</v>
      </c>
      <c r="H306" s="74">
        <v>0</v>
      </c>
      <c r="I306" s="74">
        <v>0</v>
      </c>
      <c r="J306" s="74">
        <f>3152.85-3152.85</f>
        <v>0</v>
      </c>
      <c r="K306" s="74">
        <v>0</v>
      </c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74">
        <f>3152.85-3152.85</f>
        <v>0</v>
      </c>
      <c r="X306" s="74">
        <v>0</v>
      </c>
    </row>
    <row r="307" spans="1:24" s="5" customFormat="1" ht="47.25" customHeight="1">
      <c r="A307" s="35" t="s">
        <v>434</v>
      </c>
      <c r="B307" s="32" t="s">
        <v>88</v>
      </c>
      <c r="C307" s="32" t="s">
        <v>69</v>
      </c>
      <c r="D307" s="34" t="s">
        <v>457</v>
      </c>
      <c r="E307" s="32" t="s">
        <v>109</v>
      </c>
      <c r="F307" s="32"/>
      <c r="G307" s="71">
        <f>H307+I307+J307+K307</f>
        <v>2438</v>
      </c>
      <c r="H307" s="71">
        <f t="shared" si="28"/>
        <v>2438</v>
      </c>
      <c r="I307" s="71">
        <f t="shared" si="28"/>
        <v>0</v>
      </c>
      <c r="J307" s="71">
        <f t="shared" si="28"/>
        <v>0</v>
      </c>
      <c r="K307" s="71">
        <f t="shared" si="28"/>
        <v>0</v>
      </c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71">
        <f t="shared" si="29"/>
        <v>0</v>
      </c>
      <c r="X307" s="71">
        <f t="shared" si="29"/>
        <v>0</v>
      </c>
    </row>
    <row r="308" spans="1:24" s="5" customFormat="1" ht="20.25" customHeight="1">
      <c r="A308" s="26" t="s">
        <v>30</v>
      </c>
      <c r="B308" s="32" t="s">
        <v>88</v>
      </c>
      <c r="C308" s="32" t="s">
        <v>69</v>
      </c>
      <c r="D308" s="34" t="s">
        <v>457</v>
      </c>
      <c r="E308" s="32" t="s">
        <v>109</v>
      </c>
      <c r="F308" s="32" t="s">
        <v>52</v>
      </c>
      <c r="G308" s="74">
        <f>H308+I308+J308+K308</f>
        <v>2438</v>
      </c>
      <c r="H308" s="74">
        <f>2438</f>
        <v>2438</v>
      </c>
      <c r="I308" s="74">
        <v>0</v>
      </c>
      <c r="J308" s="74">
        <f>3152.85-3152.85</f>
        <v>0</v>
      </c>
      <c r="K308" s="74">
        <v>0</v>
      </c>
      <c r="L308" s="14"/>
      <c r="M308" s="14"/>
      <c r="N308" s="14"/>
      <c r="O308" s="14"/>
      <c r="P308" s="14"/>
      <c r="Q308" s="14"/>
      <c r="R308" s="14" t="s">
        <v>442</v>
      </c>
      <c r="S308" s="14"/>
      <c r="T308" s="14"/>
      <c r="U308" s="14"/>
      <c r="V308" s="14"/>
      <c r="W308" s="74">
        <f>3152.85-3152.85</f>
        <v>0</v>
      </c>
      <c r="X308" s="74">
        <v>0</v>
      </c>
    </row>
    <row r="309" spans="1:24" ht="17.25" customHeight="1">
      <c r="A309" s="36" t="s">
        <v>190</v>
      </c>
      <c r="B309" s="39" t="s">
        <v>88</v>
      </c>
      <c r="C309" s="39" t="s">
        <v>70</v>
      </c>
      <c r="D309" s="31" t="s">
        <v>173</v>
      </c>
      <c r="E309" s="39" t="s">
        <v>66</v>
      </c>
      <c r="F309" s="39"/>
      <c r="G309" s="73">
        <f t="shared" si="27"/>
        <v>5377.1900000000005</v>
      </c>
      <c r="H309" s="73">
        <f>H310+H314+H321+H311+H326+H337</f>
        <v>884</v>
      </c>
      <c r="I309" s="73">
        <f>I310+I314+I321+I311+I326+I337</f>
        <v>650</v>
      </c>
      <c r="J309" s="73">
        <f>J310+J314+J321+J311+J326+J337</f>
        <v>1789</v>
      </c>
      <c r="K309" s="73">
        <f>K310+K314+K321+K311+K326+K337</f>
        <v>2054.19</v>
      </c>
      <c r="W309" s="73">
        <f>W310+W314+W321+W311+W326+W337</f>
        <v>6894.6</v>
      </c>
      <c r="X309" s="73">
        <f>X310+X314+X321+X311+X326+X337</f>
        <v>6968</v>
      </c>
    </row>
    <row r="310" spans="1:24" ht="22.5" customHeight="1">
      <c r="A310" s="35" t="s">
        <v>453</v>
      </c>
      <c r="B310" s="32" t="s">
        <v>88</v>
      </c>
      <c r="C310" s="32" t="s">
        <v>70</v>
      </c>
      <c r="D310" s="32" t="s">
        <v>198</v>
      </c>
      <c r="E310" s="32" t="s">
        <v>109</v>
      </c>
      <c r="F310" s="32" t="s">
        <v>50</v>
      </c>
      <c r="G310" s="74">
        <f aca="true" t="shared" si="30" ref="G310:G324">H310+I310+J310+K310</f>
        <v>2848.19</v>
      </c>
      <c r="H310" s="74">
        <f>854-300</f>
        <v>554</v>
      </c>
      <c r="I310" s="74">
        <f>570-150</f>
        <v>420</v>
      </c>
      <c r="J310" s="74">
        <f>300+150</f>
        <v>450</v>
      </c>
      <c r="K310" s="74">
        <f>1124.19+300</f>
        <v>1424.19</v>
      </c>
      <c r="W310" s="74">
        <v>3965.6</v>
      </c>
      <c r="X310" s="74">
        <v>4039</v>
      </c>
    </row>
    <row r="311" spans="1:24" ht="30.75" customHeight="1">
      <c r="A311" s="30" t="s">
        <v>447</v>
      </c>
      <c r="B311" s="31" t="s">
        <v>88</v>
      </c>
      <c r="C311" s="31" t="s">
        <v>70</v>
      </c>
      <c r="D311" s="31" t="s">
        <v>268</v>
      </c>
      <c r="E311" s="31" t="s">
        <v>66</v>
      </c>
      <c r="F311" s="31"/>
      <c r="G311" s="75">
        <f t="shared" si="30"/>
        <v>1000</v>
      </c>
      <c r="H311" s="75">
        <f aca="true" t="shared" si="31" ref="H311:K312">H312</f>
        <v>100</v>
      </c>
      <c r="I311" s="75">
        <f t="shared" si="31"/>
        <v>100</v>
      </c>
      <c r="J311" s="75">
        <f t="shared" si="31"/>
        <v>400</v>
      </c>
      <c r="K311" s="75">
        <f t="shared" si="31"/>
        <v>400</v>
      </c>
      <c r="W311" s="75">
        <f>W312</f>
        <v>1000</v>
      </c>
      <c r="X311" s="75">
        <f>X312</f>
        <v>1000</v>
      </c>
    </row>
    <row r="312" spans="1:24" ht="24.75" customHeight="1">
      <c r="A312" s="35" t="s">
        <v>270</v>
      </c>
      <c r="B312" s="34" t="s">
        <v>88</v>
      </c>
      <c r="C312" s="34" t="s">
        <v>70</v>
      </c>
      <c r="D312" s="34" t="s">
        <v>269</v>
      </c>
      <c r="E312" s="34" t="s">
        <v>109</v>
      </c>
      <c r="F312" s="34"/>
      <c r="G312" s="71">
        <f t="shared" si="30"/>
        <v>1000</v>
      </c>
      <c r="H312" s="71">
        <f t="shared" si="31"/>
        <v>100</v>
      </c>
      <c r="I312" s="71">
        <f t="shared" si="31"/>
        <v>100</v>
      </c>
      <c r="J312" s="71">
        <f t="shared" si="31"/>
        <v>400</v>
      </c>
      <c r="K312" s="71">
        <f t="shared" si="31"/>
        <v>400</v>
      </c>
      <c r="W312" s="71">
        <f>W313</f>
        <v>1000</v>
      </c>
      <c r="X312" s="71">
        <f>X313</f>
        <v>1000</v>
      </c>
    </row>
    <row r="313" spans="1:24" ht="13.5" customHeight="1">
      <c r="A313" s="25" t="s">
        <v>153</v>
      </c>
      <c r="B313" s="32" t="s">
        <v>88</v>
      </c>
      <c r="C313" s="32" t="s">
        <v>70</v>
      </c>
      <c r="D313" s="32" t="s">
        <v>269</v>
      </c>
      <c r="E313" s="32" t="s">
        <v>109</v>
      </c>
      <c r="F313" s="32" t="s">
        <v>51</v>
      </c>
      <c r="G313" s="74">
        <f t="shared" si="30"/>
        <v>1000</v>
      </c>
      <c r="H313" s="74">
        <v>100</v>
      </c>
      <c r="I313" s="74">
        <f>300-100-100</f>
        <v>100</v>
      </c>
      <c r="J313" s="74">
        <f>300+100</f>
        <v>400</v>
      </c>
      <c r="K313" s="74">
        <f>300+100</f>
        <v>400</v>
      </c>
      <c r="W313" s="74">
        <v>1000</v>
      </c>
      <c r="X313" s="74">
        <v>1000</v>
      </c>
    </row>
    <row r="314" spans="1:24" ht="39.75" customHeight="1">
      <c r="A314" s="30" t="s">
        <v>465</v>
      </c>
      <c r="B314" s="31" t="s">
        <v>88</v>
      </c>
      <c r="C314" s="31" t="s">
        <v>70</v>
      </c>
      <c r="D314" s="31" t="s">
        <v>192</v>
      </c>
      <c r="E314" s="31" t="s">
        <v>66</v>
      </c>
      <c r="F314" s="31"/>
      <c r="G314" s="75">
        <f t="shared" si="30"/>
        <v>925.5</v>
      </c>
      <c r="H314" s="75">
        <f>H315+H319+H317</f>
        <v>230</v>
      </c>
      <c r="I314" s="75">
        <f>I315+I319+I317</f>
        <v>130</v>
      </c>
      <c r="J314" s="75">
        <f>J315+J319+J317</f>
        <v>335.5</v>
      </c>
      <c r="K314" s="75">
        <f>K315+K319+K317</f>
        <v>230</v>
      </c>
      <c r="W314" s="75">
        <f>W315+W319+W317</f>
        <v>925.5</v>
      </c>
      <c r="X314" s="75">
        <f>X315+X319+X317</f>
        <v>925.5</v>
      </c>
    </row>
    <row r="315" spans="1:24" ht="69.75" customHeight="1">
      <c r="A315" s="35" t="s">
        <v>191</v>
      </c>
      <c r="B315" s="34" t="s">
        <v>88</v>
      </c>
      <c r="C315" s="34" t="s">
        <v>70</v>
      </c>
      <c r="D315" s="34" t="s">
        <v>193</v>
      </c>
      <c r="E315" s="34" t="s">
        <v>109</v>
      </c>
      <c r="F315" s="34"/>
      <c r="G315" s="71">
        <f t="shared" si="30"/>
        <v>925.5</v>
      </c>
      <c r="H315" s="71">
        <f>H316</f>
        <v>230</v>
      </c>
      <c r="I315" s="71">
        <f>I316</f>
        <v>130</v>
      </c>
      <c r="J315" s="71">
        <f>J316</f>
        <v>335.5</v>
      </c>
      <c r="K315" s="71">
        <f>K316</f>
        <v>230</v>
      </c>
      <c r="W315" s="71">
        <f>W316</f>
        <v>925.5</v>
      </c>
      <c r="X315" s="71">
        <f>X316</f>
        <v>925.5</v>
      </c>
    </row>
    <row r="316" spans="1:24" ht="13.5" customHeight="1">
      <c r="A316" s="26" t="s">
        <v>143</v>
      </c>
      <c r="B316" s="32" t="s">
        <v>88</v>
      </c>
      <c r="C316" s="32" t="s">
        <v>70</v>
      </c>
      <c r="D316" s="32" t="s">
        <v>193</v>
      </c>
      <c r="E316" s="32" t="s">
        <v>109</v>
      </c>
      <c r="F316" s="32" t="s">
        <v>51</v>
      </c>
      <c r="G316" s="74">
        <f t="shared" si="30"/>
        <v>925.5</v>
      </c>
      <c r="H316" s="74">
        <v>230</v>
      </c>
      <c r="I316" s="74">
        <f>230-100</f>
        <v>130</v>
      </c>
      <c r="J316" s="74">
        <f>235.5+100</f>
        <v>335.5</v>
      </c>
      <c r="K316" s="74">
        <v>230</v>
      </c>
      <c r="W316" s="74">
        <v>925.5</v>
      </c>
      <c r="X316" s="74">
        <v>925.5</v>
      </c>
    </row>
    <row r="317" spans="1:24" ht="66.75" customHeight="1" hidden="1">
      <c r="A317" s="35" t="s">
        <v>433</v>
      </c>
      <c r="B317" s="34" t="s">
        <v>88</v>
      </c>
      <c r="C317" s="34" t="s">
        <v>70</v>
      </c>
      <c r="D317" s="34" t="s">
        <v>193</v>
      </c>
      <c r="E317" s="34" t="s">
        <v>145</v>
      </c>
      <c r="F317" s="34"/>
      <c r="G317" s="71">
        <f t="shared" si="30"/>
        <v>0</v>
      </c>
      <c r="H317" s="71">
        <f>H318</f>
        <v>0</v>
      </c>
      <c r="I317" s="71">
        <f>I318</f>
        <v>0</v>
      </c>
      <c r="J317" s="71">
        <f>J318</f>
        <v>0</v>
      </c>
      <c r="K317" s="71">
        <f>K318</f>
        <v>0</v>
      </c>
      <c r="W317" s="71">
        <f>W318</f>
        <v>0</v>
      </c>
      <c r="X317" s="71">
        <f>X318</f>
        <v>0</v>
      </c>
    </row>
    <row r="318" spans="1:24" ht="13.5" customHeight="1" hidden="1">
      <c r="A318" s="26" t="s">
        <v>143</v>
      </c>
      <c r="B318" s="32" t="s">
        <v>88</v>
      </c>
      <c r="C318" s="32" t="s">
        <v>70</v>
      </c>
      <c r="D318" s="32" t="s">
        <v>193</v>
      </c>
      <c r="E318" s="32" t="s">
        <v>325</v>
      </c>
      <c r="F318" s="32" t="s">
        <v>53</v>
      </c>
      <c r="G318" s="74">
        <f t="shared" si="30"/>
        <v>0</v>
      </c>
      <c r="H318" s="74">
        <v>0</v>
      </c>
      <c r="I318" s="74">
        <v>0</v>
      </c>
      <c r="J318" s="74">
        <v>0</v>
      </c>
      <c r="K318" s="74">
        <f>94.4-94.4</f>
        <v>0</v>
      </c>
      <c r="W318" s="74">
        <v>0</v>
      </c>
      <c r="X318" s="74">
        <f>94.4-94.4</f>
        <v>0</v>
      </c>
    </row>
    <row r="319" spans="1:24" ht="24.75" customHeight="1" hidden="1">
      <c r="A319" s="35" t="s">
        <v>194</v>
      </c>
      <c r="B319" s="34" t="s">
        <v>88</v>
      </c>
      <c r="C319" s="34" t="s">
        <v>70</v>
      </c>
      <c r="D319" s="34" t="s">
        <v>195</v>
      </c>
      <c r="E319" s="34" t="s">
        <v>109</v>
      </c>
      <c r="F319" s="34"/>
      <c r="G319" s="71">
        <f t="shared" si="30"/>
        <v>0</v>
      </c>
      <c r="H319" s="71">
        <f>H320</f>
        <v>0</v>
      </c>
      <c r="I319" s="71">
        <f>I320</f>
        <v>0</v>
      </c>
      <c r="J319" s="71">
        <f>J320</f>
        <v>0</v>
      </c>
      <c r="K319" s="71">
        <f>K320</f>
        <v>0</v>
      </c>
      <c r="W319" s="71">
        <f>W320</f>
        <v>0</v>
      </c>
      <c r="X319" s="71">
        <f>X320</f>
        <v>0</v>
      </c>
    </row>
    <row r="320" spans="1:24" ht="13.5" customHeight="1" hidden="1">
      <c r="A320" s="26" t="s">
        <v>143</v>
      </c>
      <c r="B320" s="32" t="s">
        <v>88</v>
      </c>
      <c r="C320" s="32" t="s">
        <v>70</v>
      </c>
      <c r="D320" s="32" t="s">
        <v>195</v>
      </c>
      <c r="E320" s="32" t="s">
        <v>109</v>
      </c>
      <c r="F320" s="32" t="s">
        <v>51</v>
      </c>
      <c r="G320" s="74">
        <f t="shared" si="30"/>
        <v>0</v>
      </c>
      <c r="H320" s="74">
        <v>0</v>
      </c>
      <c r="I320" s="74">
        <v>0</v>
      </c>
      <c r="J320" s="74">
        <v>0</v>
      </c>
      <c r="K320" s="74">
        <v>0</v>
      </c>
      <c r="W320" s="74">
        <v>0</v>
      </c>
      <c r="X320" s="74">
        <v>0</v>
      </c>
    </row>
    <row r="321" spans="1:24" ht="36.75" customHeight="1">
      <c r="A321" s="30" t="s">
        <v>466</v>
      </c>
      <c r="B321" s="31" t="s">
        <v>88</v>
      </c>
      <c r="C321" s="31" t="s">
        <v>70</v>
      </c>
      <c r="D321" s="31" t="s">
        <v>196</v>
      </c>
      <c r="E321" s="31" t="s">
        <v>66</v>
      </c>
      <c r="F321" s="31"/>
      <c r="G321" s="75">
        <f t="shared" si="30"/>
        <v>100</v>
      </c>
      <c r="H321" s="75">
        <f>H322+H324</f>
        <v>0</v>
      </c>
      <c r="I321" s="75">
        <f>I322+I324</f>
        <v>0</v>
      </c>
      <c r="J321" s="75">
        <f>J322+J324</f>
        <v>100</v>
      </c>
      <c r="K321" s="75">
        <f>K322+K324</f>
        <v>0</v>
      </c>
      <c r="W321" s="75">
        <f>W322+W324</f>
        <v>500</v>
      </c>
      <c r="X321" s="75">
        <f>X322+X324</f>
        <v>500</v>
      </c>
    </row>
    <row r="322" spans="1:24" ht="17.25" customHeight="1">
      <c r="A322" s="35" t="s">
        <v>255</v>
      </c>
      <c r="B322" s="34" t="s">
        <v>88</v>
      </c>
      <c r="C322" s="34" t="s">
        <v>70</v>
      </c>
      <c r="D322" s="34" t="s">
        <v>197</v>
      </c>
      <c r="E322" s="34" t="s">
        <v>109</v>
      </c>
      <c r="F322" s="34"/>
      <c r="G322" s="71">
        <f t="shared" si="30"/>
        <v>100</v>
      </c>
      <c r="H322" s="71">
        <f>H323</f>
        <v>0</v>
      </c>
      <c r="I322" s="71">
        <f>I323</f>
        <v>0</v>
      </c>
      <c r="J322" s="71">
        <f>J323</f>
        <v>100</v>
      </c>
      <c r="K322" s="71">
        <f>K323</f>
        <v>0</v>
      </c>
      <c r="W322" s="71">
        <f>W323</f>
        <v>500</v>
      </c>
      <c r="X322" s="71">
        <f>X323</f>
        <v>500</v>
      </c>
    </row>
    <row r="323" spans="1:24" ht="11.25" customHeight="1">
      <c r="A323" s="26" t="s">
        <v>143</v>
      </c>
      <c r="B323" s="32" t="s">
        <v>88</v>
      </c>
      <c r="C323" s="32" t="s">
        <v>70</v>
      </c>
      <c r="D323" s="32" t="s">
        <v>197</v>
      </c>
      <c r="E323" s="32" t="s">
        <v>109</v>
      </c>
      <c r="F323" s="32" t="s">
        <v>51</v>
      </c>
      <c r="G323" s="74">
        <f t="shared" si="30"/>
        <v>100</v>
      </c>
      <c r="H323" s="74">
        <v>0</v>
      </c>
      <c r="I323" s="74">
        <v>0</v>
      </c>
      <c r="J323" s="74">
        <v>100</v>
      </c>
      <c r="K323" s="74">
        <v>0</v>
      </c>
      <c r="W323" s="74">
        <v>500</v>
      </c>
      <c r="X323" s="74">
        <v>500</v>
      </c>
    </row>
    <row r="324" spans="1:24" ht="27" customHeight="1" hidden="1">
      <c r="A324" s="35" t="s">
        <v>271</v>
      </c>
      <c r="B324" s="34" t="s">
        <v>88</v>
      </c>
      <c r="C324" s="34" t="s">
        <v>70</v>
      </c>
      <c r="D324" s="34" t="s">
        <v>272</v>
      </c>
      <c r="E324" s="34" t="s">
        <v>109</v>
      </c>
      <c r="F324" s="34"/>
      <c r="G324" s="71">
        <f t="shared" si="30"/>
        <v>0</v>
      </c>
      <c r="H324" s="71">
        <f>H325</f>
        <v>0</v>
      </c>
      <c r="I324" s="71">
        <f>I325</f>
        <v>0</v>
      </c>
      <c r="J324" s="71">
        <f>J325</f>
        <v>0</v>
      </c>
      <c r="K324" s="71">
        <f>K325</f>
        <v>0</v>
      </c>
      <c r="W324" s="71">
        <f>W325</f>
        <v>0</v>
      </c>
      <c r="X324" s="71">
        <f>X325</f>
        <v>0</v>
      </c>
    </row>
    <row r="325" spans="1:24" ht="13.5" customHeight="1" hidden="1">
      <c r="A325" s="26" t="s">
        <v>143</v>
      </c>
      <c r="B325" s="32" t="s">
        <v>88</v>
      </c>
      <c r="C325" s="32" t="s">
        <v>70</v>
      </c>
      <c r="D325" s="32" t="s">
        <v>272</v>
      </c>
      <c r="E325" s="32" t="s">
        <v>109</v>
      </c>
      <c r="F325" s="32" t="s">
        <v>51</v>
      </c>
      <c r="G325" s="74">
        <f aca="true" t="shared" si="32" ref="G325:G357">H325+I325+J325+K325</f>
        <v>0</v>
      </c>
      <c r="H325" s="74">
        <v>0</v>
      </c>
      <c r="I325" s="74">
        <v>0</v>
      </c>
      <c r="J325" s="74">
        <f>100-100</f>
        <v>0</v>
      </c>
      <c r="K325" s="74">
        <v>0</v>
      </c>
      <c r="W325" s="74">
        <f>100-100</f>
        <v>0</v>
      </c>
      <c r="X325" s="74">
        <v>0</v>
      </c>
    </row>
    <row r="326" spans="1:24" ht="28.5" customHeight="1">
      <c r="A326" s="30" t="s">
        <v>467</v>
      </c>
      <c r="B326" s="31" t="s">
        <v>88</v>
      </c>
      <c r="C326" s="31" t="s">
        <v>70</v>
      </c>
      <c r="D326" s="31" t="s">
        <v>310</v>
      </c>
      <c r="E326" s="31" t="s">
        <v>66</v>
      </c>
      <c r="F326" s="31"/>
      <c r="G326" s="75">
        <f t="shared" si="32"/>
        <v>250</v>
      </c>
      <c r="H326" s="75">
        <f>H331+H329+H327+H333+H335</f>
        <v>0</v>
      </c>
      <c r="I326" s="75">
        <f>I331+I329+I327+I333+I335</f>
        <v>0</v>
      </c>
      <c r="J326" s="75">
        <f>J331+J329+J327+J333+J335</f>
        <v>250</v>
      </c>
      <c r="K326" s="75">
        <f>K331+K329+K327+K333+K335</f>
        <v>0</v>
      </c>
      <c r="W326" s="75">
        <f>W331+W329+W327+W333+W335</f>
        <v>250</v>
      </c>
      <c r="X326" s="75">
        <f>X331+X329+X327+X333+X335</f>
        <v>250</v>
      </c>
    </row>
    <row r="327" spans="1:24" ht="17.25" customHeight="1">
      <c r="A327" s="35" t="s">
        <v>334</v>
      </c>
      <c r="B327" s="34" t="s">
        <v>88</v>
      </c>
      <c r="C327" s="34" t="s">
        <v>70</v>
      </c>
      <c r="D327" s="34" t="s">
        <v>335</v>
      </c>
      <c r="E327" s="34" t="s">
        <v>110</v>
      </c>
      <c r="F327" s="34"/>
      <c r="G327" s="71">
        <f t="shared" si="32"/>
        <v>250</v>
      </c>
      <c r="H327" s="71">
        <f aca="true" t="shared" si="33" ref="H327:K335">H328</f>
        <v>0</v>
      </c>
      <c r="I327" s="71">
        <f t="shared" si="33"/>
        <v>0</v>
      </c>
      <c r="J327" s="71">
        <f t="shared" si="33"/>
        <v>250</v>
      </c>
      <c r="K327" s="71">
        <f t="shared" si="33"/>
        <v>0</v>
      </c>
      <c r="W327" s="71">
        <f aca="true" t="shared" si="34" ref="W327:X335">W328</f>
        <v>250</v>
      </c>
      <c r="X327" s="71">
        <f t="shared" si="34"/>
        <v>250</v>
      </c>
    </row>
    <row r="328" spans="1:24" ht="16.5" customHeight="1">
      <c r="A328" s="26" t="s">
        <v>30</v>
      </c>
      <c r="B328" s="32" t="s">
        <v>88</v>
      </c>
      <c r="C328" s="32" t="s">
        <v>70</v>
      </c>
      <c r="D328" s="32" t="s">
        <v>335</v>
      </c>
      <c r="E328" s="32" t="s">
        <v>109</v>
      </c>
      <c r="F328" s="32" t="s">
        <v>51</v>
      </c>
      <c r="G328" s="74">
        <f t="shared" si="32"/>
        <v>250</v>
      </c>
      <c r="H328" s="74">
        <f>350-350</f>
        <v>0</v>
      </c>
      <c r="I328" s="74">
        <f>125-125</f>
        <v>0</v>
      </c>
      <c r="J328" s="74">
        <f>125+125</f>
        <v>250</v>
      </c>
      <c r="K328" s="74">
        <v>0</v>
      </c>
      <c r="W328" s="74">
        <f>125+125</f>
        <v>250</v>
      </c>
      <c r="X328" s="74">
        <v>250</v>
      </c>
    </row>
    <row r="329" spans="1:24" ht="44.25" customHeight="1" hidden="1">
      <c r="A329" s="35" t="s">
        <v>349</v>
      </c>
      <c r="B329" s="44" t="s">
        <v>88</v>
      </c>
      <c r="C329" s="44" t="s">
        <v>70</v>
      </c>
      <c r="D329" s="44" t="s">
        <v>343</v>
      </c>
      <c r="E329" s="32" t="s">
        <v>110</v>
      </c>
      <c r="F329" s="32"/>
      <c r="G329" s="71">
        <f t="shared" si="32"/>
        <v>0</v>
      </c>
      <c r="H329" s="71">
        <f t="shared" si="33"/>
        <v>0</v>
      </c>
      <c r="I329" s="71">
        <f t="shared" si="33"/>
        <v>0</v>
      </c>
      <c r="J329" s="71">
        <f t="shared" si="33"/>
        <v>0</v>
      </c>
      <c r="K329" s="71">
        <f t="shared" si="33"/>
        <v>0</v>
      </c>
      <c r="W329" s="71">
        <f t="shared" si="34"/>
        <v>0</v>
      </c>
      <c r="X329" s="71">
        <f t="shared" si="34"/>
        <v>0</v>
      </c>
    </row>
    <row r="330" spans="1:24" ht="18" customHeight="1" hidden="1">
      <c r="A330" s="26" t="s">
        <v>30</v>
      </c>
      <c r="B330" s="44" t="s">
        <v>88</v>
      </c>
      <c r="C330" s="44" t="s">
        <v>70</v>
      </c>
      <c r="D330" s="44" t="s">
        <v>343</v>
      </c>
      <c r="E330" s="32" t="s">
        <v>109</v>
      </c>
      <c r="F330" s="32" t="s">
        <v>51</v>
      </c>
      <c r="G330" s="74">
        <f t="shared" si="32"/>
        <v>0</v>
      </c>
      <c r="H330" s="74">
        <v>0</v>
      </c>
      <c r="I330" s="74">
        <f>200-200</f>
        <v>0</v>
      </c>
      <c r="J330" s="74">
        <f>200+200-400</f>
        <v>0</v>
      </c>
      <c r="K330" s="74">
        <v>0</v>
      </c>
      <c r="W330" s="74">
        <f>200+200-400</f>
        <v>0</v>
      </c>
      <c r="X330" s="74">
        <v>0</v>
      </c>
    </row>
    <row r="331" spans="1:24" ht="24" customHeight="1" hidden="1">
      <c r="A331" s="35" t="s">
        <v>311</v>
      </c>
      <c r="B331" s="34" t="s">
        <v>88</v>
      </c>
      <c r="C331" s="34" t="s">
        <v>70</v>
      </c>
      <c r="D331" s="34" t="s">
        <v>313</v>
      </c>
      <c r="E331" s="34" t="s">
        <v>110</v>
      </c>
      <c r="F331" s="34"/>
      <c r="G331" s="71">
        <f t="shared" si="32"/>
        <v>0</v>
      </c>
      <c r="H331" s="71">
        <f t="shared" si="33"/>
        <v>0</v>
      </c>
      <c r="I331" s="71">
        <f t="shared" si="33"/>
        <v>0</v>
      </c>
      <c r="J331" s="71">
        <f t="shared" si="33"/>
        <v>0</v>
      </c>
      <c r="K331" s="71">
        <f t="shared" si="33"/>
        <v>0</v>
      </c>
      <c r="W331" s="71">
        <f t="shared" si="34"/>
        <v>0</v>
      </c>
      <c r="X331" s="71">
        <f t="shared" si="34"/>
        <v>0</v>
      </c>
    </row>
    <row r="332" spans="1:24" ht="13.5" customHeight="1" hidden="1">
      <c r="A332" s="26" t="s">
        <v>30</v>
      </c>
      <c r="B332" s="32" t="s">
        <v>88</v>
      </c>
      <c r="C332" s="32" t="s">
        <v>70</v>
      </c>
      <c r="D332" s="32" t="s">
        <v>313</v>
      </c>
      <c r="E332" s="32" t="s">
        <v>109</v>
      </c>
      <c r="F332" s="32" t="s">
        <v>52</v>
      </c>
      <c r="G332" s="74">
        <f t="shared" si="32"/>
        <v>0</v>
      </c>
      <c r="H332" s="74">
        <v>0</v>
      </c>
      <c r="I332" s="74">
        <v>0</v>
      </c>
      <c r="J332" s="74">
        <v>0</v>
      </c>
      <c r="K332" s="74">
        <v>0</v>
      </c>
      <c r="W332" s="74">
        <v>0</v>
      </c>
      <c r="X332" s="74">
        <v>0</v>
      </c>
    </row>
    <row r="333" spans="1:24" ht="29.25" customHeight="1" hidden="1">
      <c r="A333" s="35" t="s">
        <v>353</v>
      </c>
      <c r="B333" s="34" t="s">
        <v>88</v>
      </c>
      <c r="C333" s="34" t="s">
        <v>70</v>
      </c>
      <c r="D333" s="34" t="s">
        <v>352</v>
      </c>
      <c r="E333" s="34" t="s">
        <v>110</v>
      </c>
      <c r="F333" s="34"/>
      <c r="G333" s="71">
        <f t="shared" si="32"/>
        <v>0</v>
      </c>
      <c r="H333" s="71">
        <f t="shared" si="33"/>
        <v>0</v>
      </c>
      <c r="I333" s="71">
        <f t="shared" si="33"/>
        <v>0</v>
      </c>
      <c r="J333" s="71">
        <f t="shared" si="33"/>
        <v>0</v>
      </c>
      <c r="K333" s="71">
        <f t="shared" si="33"/>
        <v>0</v>
      </c>
      <c r="W333" s="71">
        <f t="shared" si="34"/>
        <v>0</v>
      </c>
      <c r="X333" s="71">
        <f t="shared" si="34"/>
        <v>0</v>
      </c>
    </row>
    <row r="334" spans="1:24" ht="13.5" customHeight="1" hidden="1">
      <c r="A334" s="26" t="s">
        <v>30</v>
      </c>
      <c r="B334" s="32" t="s">
        <v>88</v>
      </c>
      <c r="C334" s="32" t="s">
        <v>70</v>
      </c>
      <c r="D334" s="32" t="s">
        <v>352</v>
      </c>
      <c r="E334" s="32" t="s">
        <v>109</v>
      </c>
      <c r="F334" s="32" t="s">
        <v>52</v>
      </c>
      <c r="G334" s="74">
        <f t="shared" si="32"/>
        <v>0</v>
      </c>
      <c r="H334" s="74">
        <v>0</v>
      </c>
      <c r="I334" s="74">
        <v>0</v>
      </c>
      <c r="J334" s="74">
        <v>0</v>
      </c>
      <c r="K334" s="74">
        <v>0</v>
      </c>
      <c r="W334" s="74">
        <v>0</v>
      </c>
      <c r="X334" s="74">
        <v>0</v>
      </c>
    </row>
    <row r="335" spans="1:24" ht="19.5" customHeight="1" hidden="1">
      <c r="A335" s="35"/>
      <c r="B335" s="32"/>
      <c r="C335" s="32"/>
      <c r="D335" s="32"/>
      <c r="E335" s="32"/>
      <c r="F335" s="32"/>
      <c r="G335" s="71">
        <f>H335+I335+J335+K335</f>
        <v>0</v>
      </c>
      <c r="H335" s="71">
        <f t="shared" si="33"/>
        <v>0</v>
      </c>
      <c r="I335" s="71">
        <f t="shared" si="33"/>
        <v>0</v>
      </c>
      <c r="J335" s="71">
        <f t="shared" si="33"/>
        <v>0</v>
      </c>
      <c r="K335" s="71">
        <f t="shared" si="33"/>
        <v>0</v>
      </c>
      <c r="W335" s="71">
        <f t="shared" si="34"/>
        <v>0</v>
      </c>
      <c r="X335" s="71">
        <f t="shared" si="34"/>
        <v>0</v>
      </c>
    </row>
    <row r="336" spans="1:24" ht="13.5" customHeight="1" hidden="1">
      <c r="A336" s="25"/>
      <c r="B336" s="32"/>
      <c r="C336" s="32"/>
      <c r="D336" s="32"/>
      <c r="E336" s="32"/>
      <c r="F336" s="32"/>
      <c r="G336" s="74">
        <f>H336+I336+J336+K336</f>
        <v>0</v>
      </c>
      <c r="H336" s="74">
        <v>0</v>
      </c>
      <c r="I336" s="74">
        <v>0</v>
      </c>
      <c r="J336" s="74">
        <v>0</v>
      </c>
      <c r="K336" s="74">
        <v>0</v>
      </c>
      <c r="W336" s="74">
        <v>0</v>
      </c>
      <c r="X336" s="74">
        <v>0</v>
      </c>
    </row>
    <row r="337" spans="1:24" ht="25.5" customHeight="1">
      <c r="A337" s="30" t="s">
        <v>468</v>
      </c>
      <c r="B337" s="31" t="s">
        <v>88</v>
      </c>
      <c r="C337" s="31" t="s">
        <v>70</v>
      </c>
      <c r="D337" s="31" t="s">
        <v>368</v>
      </c>
      <c r="E337" s="31" t="s">
        <v>66</v>
      </c>
      <c r="F337" s="32"/>
      <c r="G337" s="75">
        <f t="shared" si="32"/>
        <v>253.5</v>
      </c>
      <c r="H337" s="75">
        <f>H338+H340+H342+H344+H348+H352+H346+H350</f>
        <v>0</v>
      </c>
      <c r="I337" s="75">
        <f>I338+I340+I342+I344+I348+I352+I346+I350</f>
        <v>0</v>
      </c>
      <c r="J337" s="75">
        <f>J338+J340+J342+J344+J348+J352+J346+J350</f>
        <v>253.5</v>
      </c>
      <c r="K337" s="75">
        <f>K338+K340+K342+K344+K348+K352+K346+K350</f>
        <v>0</v>
      </c>
      <c r="W337" s="75">
        <f>W338+W340+W342+W344+W348+W352+W346+W350</f>
        <v>253.5</v>
      </c>
      <c r="X337" s="75">
        <f>X338+X340+X342+X344+X348+X352+X346+X350</f>
        <v>253.5</v>
      </c>
    </row>
    <row r="338" spans="1:24" ht="28.5" customHeight="1" hidden="1">
      <c r="A338" s="35" t="s">
        <v>372</v>
      </c>
      <c r="B338" s="32" t="s">
        <v>88</v>
      </c>
      <c r="C338" s="32" t="s">
        <v>70</v>
      </c>
      <c r="D338" s="32" t="s">
        <v>373</v>
      </c>
      <c r="E338" s="32" t="s">
        <v>110</v>
      </c>
      <c r="F338" s="32"/>
      <c r="G338" s="71">
        <f t="shared" si="32"/>
        <v>0</v>
      </c>
      <c r="H338" s="71">
        <f aca="true" t="shared" si="35" ref="H338:K342">H339</f>
        <v>0</v>
      </c>
      <c r="I338" s="71">
        <f t="shared" si="35"/>
        <v>0</v>
      </c>
      <c r="J338" s="71">
        <f t="shared" si="35"/>
        <v>0</v>
      </c>
      <c r="K338" s="71">
        <f t="shared" si="35"/>
        <v>0</v>
      </c>
      <c r="W338" s="71">
        <f aca="true" t="shared" si="36" ref="W338:X342">W339</f>
        <v>0</v>
      </c>
      <c r="X338" s="71">
        <f t="shared" si="36"/>
        <v>0</v>
      </c>
    </row>
    <row r="339" spans="1:24" ht="13.5" customHeight="1" hidden="1">
      <c r="A339" s="26" t="s">
        <v>143</v>
      </c>
      <c r="B339" s="32" t="s">
        <v>88</v>
      </c>
      <c r="C339" s="32" t="s">
        <v>70</v>
      </c>
      <c r="D339" s="32" t="s">
        <v>373</v>
      </c>
      <c r="E339" s="32" t="s">
        <v>109</v>
      </c>
      <c r="F339" s="32" t="s">
        <v>51</v>
      </c>
      <c r="G339" s="74">
        <f t="shared" si="32"/>
        <v>0</v>
      </c>
      <c r="H339" s="74">
        <f>595.31-595.31</f>
        <v>0</v>
      </c>
      <c r="I339" s="74">
        <f>13.6-13.6</f>
        <v>0</v>
      </c>
      <c r="J339" s="74">
        <f>13.6+22.14276-35.74276</f>
        <v>0</v>
      </c>
      <c r="K339" s="74">
        <v>0</v>
      </c>
      <c r="W339" s="74">
        <f>13.6+22.14276-35.74276</f>
        <v>0</v>
      </c>
      <c r="X339" s="74">
        <v>0</v>
      </c>
    </row>
    <row r="340" spans="1:24" ht="41.25" customHeight="1" hidden="1">
      <c r="A340" s="35" t="s">
        <v>375</v>
      </c>
      <c r="B340" s="34" t="s">
        <v>88</v>
      </c>
      <c r="C340" s="34" t="s">
        <v>70</v>
      </c>
      <c r="D340" s="34" t="s">
        <v>374</v>
      </c>
      <c r="E340" s="34" t="s">
        <v>110</v>
      </c>
      <c r="F340" s="34"/>
      <c r="G340" s="71">
        <f t="shared" si="32"/>
        <v>0</v>
      </c>
      <c r="H340" s="71">
        <f t="shared" si="35"/>
        <v>0</v>
      </c>
      <c r="I340" s="71">
        <f t="shared" si="35"/>
        <v>0</v>
      </c>
      <c r="J340" s="71">
        <f t="shared" si="35"/>
        <v>0</v>
      </c>
      <c r="K340" s="71">
        <f t="shared" si="35"/>
        <v>0</v>
      </c>
      <c r="W340" s="71">
        <f t="shared" si="36"/>
        <v>0</v>
      </c>
      <c r="X340" s="71">
        <f t="shared" si="36"/>
        <v>0</v>
      </c>
    </row>
    <row r="341" spans="1:24" ht="13.5" customHeight="1" hidden="1">
      <c r="A341" s="26" t="s">
        <v>143</v>
      </c>
      <c r="B341" s="32" t="s">
        <v>88</v>
      </c>
      <c r="C341" s="32" t="s">
        <v>70</v>
      </c>
      <c r="D341" s="32" t="s">
        <v>374</v>
      </c>
      <c r="E341" s="32" t="s">
        <v>109</v>
      </c>
      <c r="F341" s="32" t="s">
        <v>52</v>
      </c>
      <c r="G341" s="74">
        <f t="shared" si="32"/>
        <v>0</v>
      </c>
      <c r="H341" s="74">
        <f>115.8-115.8</f>
        <v>0</v>
      </c>
      <c r="I341" s="74">
        <f>115.8-7.302-108.498</f>
        <v>0</v>
      </c>
      <c r="J341" s="74">
        <f>108.498+2.1-110.598</f>
        <v>0</v>
      </c>
      <c r="K341" s="74">
        <v>0</v>
      </c>
      <c r="W341" s="74">
        <f>108.498+2.1-110.598</f>
        <v>0</v>
      </c>
      <c r="X341" s="74">
        <v>0</v>
      </c>
    </row>
    <row r="342" spans="1:24" ht="41.25" customHeight="1" hidden="1">
      <c r="A342" s="35" t="s">
        <v>377</v>
      </c>
      <c r="B342" s="34" t="s">
        <v>88</v>
      </c>
      <c r="C342" s="34" t="s">
        <v>70</v>
      </c>
      <c r="D342" s="34" t="s">
        <v>376</v>
      </c>
      <c r="E342" s="34" t="s">
        <v>110</v>
      </c>
      <c r="F342" s="34"/>
      <c r="G342" s="71">
        <f t="shared" si="32"/>
        <v>0</v>
      </c>
      <c r="H342" s="71">
        <f t="shared" si="35"/>
        <v>0</v>
      </c>
      <c r="I342" s="71">
        <f t="shared" si="35"/>
        <v>0</v>
      </c>
      <c r="J342" s="71">
        <f t="shared" si="35"/>
        <v>0</v>
      </c>
      <c r="K342" s="71">
        <f t="shared" si="35"/>
        <v>0</v>
      </c>
      <c r="W342" s="71">
        <f t="shared" si="36"/>
        <v>0</v>
      </c>
      <c r="X342" s="71">
        <f t="shared" si="36"/>
        <v>0</v>
      </c>
    </row>
    <row r="343" spans="1:24" ht="15.75" customHeight="1" hidden="1">
      <c r="A343" s="26" t="s">
        <v>143</v>
      </c>
      <c r="B343" s="32" t="s">
        <v>88</v>
      </c>
      <c r="C343" s="32" t="s">
        <v>70</v>
      </c>
      <c r="D343" s="34" t="s">
        <v>376</v>
      </c>
      <c r="E343" s="32" t="s">
        <v>109</v>
      </c>
      <c r="F343" s="32" t="s">
        <v>51</v>
      </c>
      <c r="G343" s="74">
        <f t="shared" si="32"/>
        <v>0</v>
      </c>
      <c r="H343" s="74">
        <f>4816.53-4816.53</f>
        <v>0</v>
      </c>
      <c r="I343" s="74">
        <f>4816.53-4816.53</f>
        <v>0</v>
      </c>
      <c r="J343" s="74">
        <v>0</v>
      </c>
      <c r="K343" s="74">
        <v>0</v>
      </c>
      <c r="W343" s="74">
        <v>0</v>
      </c>
      <c r="X343" s="74">
        <v>0</v>
      </c>
    </row>
    <row r="344" spans="1:24" ht="54.75" customHeight="1" hidden="1">
      <c r="A344" s="35" t="s">
        <v>430</v>
      </c>
      <c r="B344" s="34" t="s">
        <v>88</v>
      </c>
      <c r="C344" s="34" t="s">
        <v>70</v>
      </c>
      <c r="D344" s="34" t="s">
        <v>383</v>
      </c>
      <c r="E344" s="34" t="s">
        <v>110</v>
      </c>
      <c r="F344" s="34"/>
      <c r="G344" s="71">
        <f aca="true" t="shared" si="37" ref="G344:G353">H344+I344+J344+K344</f>
        <v>0</v>
      </c>
      <c r="H344" s="71">
        <f>H345</f>
        <v>0</v>
      </c>
      <c r="I344" s="71">
        <f>I345</f>
        <v>0</v>
      </c>
      <c r="J344" s="71">
        <f>J345</f>
        <v>0</v>
      </c>
      <c r="K344" s="71">
        <f>K345</f>
        <v>0</v>
      </c>
      <c r="W344" s="71">
        <f>W345</f>
        <v>0</v>
      </c>
      <c r="X344" s="71">
        <f>X345</f>
        <v>0</v>
      </c>
    </row>
    <row r="345" spans="1:24" ht="15.75" customHeight="1" hidden="1">
      <c r="A345" s="26" t="s">
        <v>143</v>
      </c>
      <c r="B345" s="32" t="s">
        <v>88</v>
      </c>
      <c r="C345" s="32" t="s">
        <v>70</v>
      </c>
      <c r="D345" s="34" t="s">
        <v>383</v>
      </c>
      <c r="E345" s="32" t="s">
        <v>109</v>
      </c>
      <c r="F345" s="32" t="s">
        <v>51</v>
      </c>
      <c r="G345" s="74">
        <f t="shared" si="37"/>
        <v>0</v>
      </c>
      <c r="H345" s="74">
        <f>4816.53-4816.53</f>
        <v>0</v>
      </c>
      <c r="I345" s="74">
        <f>4816.52579-4816.52579</f>
        <v>0</v>
      </c>
      <c r="J345" s="74">
        <f>4816.52579-4816.52579</f>
        <v>0</v>
      </c>
      <c r="K345" s="74">
        <v>0</v>
      </c>
      <c r="W345" s="74">
        <f>4816.52579-4816.52579</f>
        <v>0</v>
      </c>
      <c r="X345" s="74">
        <v>0</v>
      </c>
    </row>
    <row r="346" spans="1:24" ht="53.25" customHeight="1" hidden="1">
      <c r="A346" s="35" t="s">
        <v>430</v>
      </c>
      <c r="B346" s="34" t="s">
        <v>88</v>
      </c>
      <c r="C346" s="34" t="s">
        <v>70</v>
      </c>
      <c r="D346" s="34" t="s">
        <v>431</v>
      </c>
      <c r="E346" s="34" t="s">
        <v>110</v>
      </c>
      <c r="F346" s="34"/>
      <c r="G346" s="71">
        <f>H346+I346+J346+K346</f>
        <v>0</v>
      </c>
      <c r="H346" s="71">
        <f>H347</f>
        <v>0</v>
      </c>
      <c r="I346" s="71">
        <f>I347</f>
        <v>0</v>
      </c>
      <c r="J346" s="71">
        <f>J347</f>
        <v>0</v>
      </c>
      <c r="K346" s="71">
        <f>K347</f>
        <v>0</v>
      </c>
      <c r="W346" s="71">
        <f>W347</f>
        <v>0</v>
      </c>
      <c r="X346" s="71">
        <f>X347</f>
        <v>0</v>
      </c>
    </row>
    <row r="347" spans="1:24" ht="15.75" customHeight="1" hidden="1">
      <c r="A347" s="26" t="s">
        <v>143</v>
      </c>
      <c r="B347" s="32" t="s">
        <v>88</v>
      </c>
      <c r="C347" s="32" t="s">
        <v>70</v>
      </c>
      <c r="D347" s="34" t="s">
        <v>431</v>
      </c>
      <c r="E347" s="32" t="s">
        <v>109</v>
      </c>
      <c r="F347" s="32" t="s">
        <v>51</v>
      </c>
      <c r="G347" s="74">
        <f>H347+I347+J347+K347</f>
        <v>0</v>
      </c>
      <c r="H347" s="74">
        <f>4816.53-4816.53</f>
        <v>0</v>
      </c>
      <c r="I347" s="74">
        <f>4816.52579-4816.52579</f>
        <v>0</v>
      </c>
      <c r="J347" s="74">
        <f>4816.52579-4816.52579</f>
        <v>0</v>
      </c>
      <c r="K347" s="74">
        <v>0</v>
      </c>
      <c r="W347" s="74">
        <f>4816.52579-4816.52579</f>
        <v>0</v>
      </c>
      <c r="X347" s="74">
        <v>0</v>
      </c>
    </row>
    <row r="348" spans="1:24" ht="39" customHeight="1" hidden="1">
      <c r="A348" s="35" t="s">
        <v>402</v>
      </c>
      <c r="B348" s="34" t="s">
        <v>88</v>
      </c>
      <c r="C348" s="34" t="s">
        <v>70</v>
      </c>
      <c r="D348" s="34" t="s">
        <v>401</v>
      </c>
      <c r="E348" s="32" t="s">
        <v>110</v>
      </c>
      <c r="F348" s="32"/>
      <c r="G348" s="71">
        <f t="shared" si="37"/>
        <v>0</v>
      </c>
      <c r="H348" s="71">
        <f>H349</f>
        <v>0</v>
      </c>
      <c r="I348" s="71">
        <f>I349</f>
        <v>0</v>
      </c>
      <c r="J348" s="71">
        <f>J349</f>
        <v>0</v>
      </c>
      <c r="K348" s="71">
        <f>K349</f>
        <v>0</v>
      </c>
      <c r="W348" s="71">
        <f>W349</f>
        <v>0</v>
      </c>
      <c r="X348" s="71">
        <f>X349</f>
        <v>0</v>
      </c>
    </row>
    <row r="349" spans="1:24" ht="15.75" customHeight="1" hidden="1">
      <c r="A349" s="26" t="s">
        <v>143</v>
      </c>
      <c r="B349" s="32" t="s">
        <v>88</v>
      </c>
      <c r="C349" s="32" t="s">
        <v>70</v>
      </c>
      <c r="D349" s="34" t="s">
        <v>401</v>
      </c>
      <c r="E349" s="32" t="s">
        <v>109</v>
      </c>
      <c r="F349" s="32" t="s">
        <v>51</v>
      </c>
      <c r="G349" s="74">
        <f t="shared" si="37"/>
        <v>0</v>
      </c>
      <c r="H349" s="74">
        <f>4816.53-4816.53</f>
        <v>0</v>
      </c>
      <c r="I349" s="74">
        <f>253.50136-253.50136</f>
        <v>0</v>
      </c>
      <c r="J349" s="74">
        <f>253.50136+61.51779-315.01915</f>
        <v>0</v>
      </c>
      <c r="K349" s="74">
        <v>0</v>
      </c>
      <c r="W349" s="74">
        <f>253.50136+61.51779-315.01915</f>
        <v>0</v>
      </c>
      <c r="X349" s="74">
        <v>0</v>
      </c>
    </row>
    <row r="350" spans="1:24" ht="51.75" customHeight="1">
      <c r="A350" s="35" t="s">
        <v>443</v>
      </c>
      <c r="B350" s="34" t="s">
        <v>88</v>
      </c>
      <c r="C350" s="34" t="s">
        <v>70</v>
      </c>
      <c r="D350" s="34" t="s">
        <v>431</v>
      </c>
      <c r="E350" s="32" t="s">
        <v>110</v>
      </c>
      <c r="F350" s="32"/>
      <c r="G350" s="71">
        <f>H350+I350+J350+K350</f>
        <v>253.5</v>
      </c>
      <c r="H350" s="71">
        <f>H351</f>
        <v>0</v>
      </c>
      <c r="I350" s="71">
        <f>I351</f>
        <v>0</v>
      </c>
      <c r="J350" s="71">
        <f>J351</f>
        <v>253.5</v>
      </c>
      <c r="K350" s="71">
        <f>K351</f>
        <v>0</v>
      </c>
      <c r="W350" s="71">
        <f>W351</f>
        <v>253.5</v>
      </c>
      <c r="X350" s="71">
        <f>X351</f>
        <v>253.5</v>
      </c>
    </row>
    <row r="351" spans="1:24" ht="15.75" customHeight="1">
      <c r="A351" s="26" t="s">
        <v>143</v>
      </c>
      <c r="B351" s="32" t="s">
        <v>88</v>
      </c>
      <c r="C351" s="32" t="s">
        <v>70</v>
      </c>
      <c r="D351" s="34" t="s">
        <v>431</v>
      </c>
      <c r="E351" s="32" t="s">
        <v>109</v>
      </c>
      <c r="F351" s="32" t="s">
        <v>51</v>
      </c>
      <c r="G351" s="74">
        <f>H351+I351+J351+K351</f>
        <v>253.5</v>
      </c>
      <c r="H351" s="74">
        <f>4816.53-4816.53</f>
        <v>0</v>
      </c>
      <c r="I351" s="74">
        <f>253.50136-253.50136</f>
        <v>0</v>
      </c>
      <c r="J351" s="74">
        <v>253.5</v>
      </c>
      <c r="K351" s="74">
        <v>0</v>
      </c>
      <c r="W351" s="74">
        <v>253.5</v>
      </c>
      <c r="X351" s="74">
        <v>253.5</v>
      </c>
    </row>
    <row r="352" spans="1:24" ht="51" customHeight="1" hidden="1">
      <c r="A352" s="35" t="s">
        <v>403</v>
      </c>
      <c r="B352" s="34" t="s">
        <v>88</v>
      </c>
      <c r="C352" s="34" t="s">
        <v>70</v>
      </c>
      <c r="D352" s="34" t="s">
        <v>406</v>
      </c>
      <c r="E352" s="32" t="s">
        <v>110</v>
      </c>
      <c r="F352" s="32"/>
      <c r="G352" s="71">
        <f t="shared" si="37"/>
        <v>0</v>
      </c>
      <c r="H352" s="71">
        <f>H353</f>
        <v>0</v>
      </c>
      <c r="I352" s="71">
        <f>I353</f>
        <v>0</v>
      </c>
      <c r="J352" s="71">
        <f>J353</f>
        <v>0</v>
      </c>
      <c r="K352" s="71">
        <f>K353</f>
        <v>0</v>
      </c>
      <c r="W352" s="71">
        <f>W353</f>
        <v>0</v>
      </c>
      <c r="X352" s="71">
        <f>X353</f>
        <v>0</v>
      </c>
    </row>
    <row r="353" spans="1:24" ht="15.75" customHeight="1" hidden="1">
      <c r="A353" s="26" t="s">
        <v>143</v>
      </c>
      <c r="B353" s="32" t="s">
        <v>88</v>
      </c>
      <c r="C353" s="32" t="s">
        <v>70</v>
      </c>
      <c r="D353" s="34" t="s">
        <v>406</v>
      </c>
      <c r="E353" s="32" t="s">
        <v>109</v>
      </c>
      <c r="F353" s="32" t="s">
        <v>52</v>
      </c>
      <c r="G353" s="74">
        <f t="shared" si="37"/>
        <v>0</v>
      </c>
      <c r="H353" s="74">
        <f>4816.53-4816.53</f>
        <v>0</v>
      </c>
      <c r="I353" s="74">
        <v>0</v>
      </c>
      <c r="J353" s="74">
        <f>3.32-3.32</f>
        <v>0</v>
      </c>
      <c r="K353" s="74">
        <f>3.32-3.32</f>
        <v>0</v>
      </c>
      <c r="W353" s="74">
        <f>3.32-3.32</f>
        <v>0</v>
      </c>
      <c r="X353" s="74">
        <f>3.32-3.32</f>
        <v>0</v>
      </c>
    </row>
    <row r="354" spans="1:24" ht="18" customHeight="1">
      <c r="A354" s="30" t="s">
        <v>140</v>
      </c>
      <c r="B354" s="31" t="s">
        <v>88</v>
      </c>
      <c r="C354" s="31" t="s">
        <v>89</v>
      </c>
      <c r="D354" s="31" t="s">
        <v>173</v>
      </c>
      <c r="E354" s="31" t="s">
        <v>66</v>
      </c>
      <c r="F354" s="31"/>
      <c r="G354" s="75">
        <f t="shared" si="32"/>
        <v>1158.81</v>
      </c>
      <c r="H354" s="75">
        <f aca="true" t="shared" si="38" ref="H354:K355">H355</f>
        <v>231.8</v>
      </c>
      <c r="I354" s="75">
        <f t="shared" si="38"/>
        <v>289.7</v>
      </c>
      <c r="J354" s="75">
        <f t="shared" si="38"/>
        <v>289.7</v>
      </c>
      <c r="K354" s="75">
        <f t="shared" si="38"/>
        <v>347.61</v>
      </c>
      <c r="W354" s="75">
        <f>W355</f>
        <v>1158.81</v>
      </c>
      <c r="X354" s="75">
        <f>X355</f>
        <v>1158.81</v>
      </c>
    </row>
    <row r="355" spans="1:24" ht="90" customHeight="1">
      <c r="A355" s="30" t="s">
        <v>469</v>
      </c>
      <c r="B355" s="31" t="s">
        <v>88</v>
      </c>
      <c r="C355" s="31" t="s">
        <v>89</v>
      </c>
      <c r="D355" s="31" t="s">
        <v>199</v>
      </c>
      <c r="E355" s="31" t="s">
        <v>66</v>
      </c>
      <c r="F355" s="32"/>
      <c r="G355" s="75">
        <f t="shared" si="32"/>
        <v>1158.81</v>
      </c>
      <c r="H355" s="75">
        <f t="shared" si="38"/>
        <v>231.8</v>
      </c>
      <c r="I355" s="75">
        <f t="shared" si="38"/>
        <v>289.7</v>
      </c>
      <c r="J355" s="75">
        <f t="shared" si="38"/>
        <v>289.7</v>
      </c>
      <c r="K355" s="75">
        <f t="shared" si="38"/>
        <v>347.61</v>
      </c>
      <c r="W355" s="75">
        <f>W356</f>
        <v>1158.81</v>
      </c>
      <c r="X355" s="75">
        <f>X356</f>
        <v>1158.81</v>
      </c>
    </row>
    <row r="356" spans="1:24" s="4" customFormat="1" ht="46.5" customHeight="1">
      <c r="A356" s="35" t="s">
        <v>200</v>
      </c>
      <c r="B356" s="34" t="s">
        <v>88</v>
      </c>
      <c r="C356" s="34" t="s">
        <v>89</v>
      </c>
      <c r="D356" s="34" t="s">
        <v>201</v>
      </c>
      <c r="E356" s="34" t="s">
        <v>113</v>
      </c>
      <c r="F356" s="34" t="s">
        <v>41</v>
      </c>
      <c r="G356" s="71">
        <f t="shared" si="32"/>
        <v>1158.81</v>
      </c>
      <c r="H356" s="71">
        <f>H357+H359</f>
        <v>231.8</v>
      </c>
      <c r="I356" s="71">
        <f>I357+I359</f>
        <v>289.7</v>
      </c>
      <c r="J356" s="71">
        <f>J357+J359</f>
        <v>289.7</v>
      </c>
      <c r="K356" s="71">
        <f>K357+K359+K358</f>
        <v>347.61</v>
      </c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71">
        <f>W357+W359</f>
        <v>1158.81</v>
      </c>
      <c r="X356" s="71">
        <f>X357+X359+X358</f>
        <v>1158.81</v>
      </c>
    </row>
    <row r="357" spans="1:24" ht="15" customHeight="1">
      <c r="A357" s="26" t="s">
        <v>16</v>
      </c>
      <c r="B357" s="32" t="s">
        <v>88</v>
      </c>
      <c r="C357" s="32" t="s">
        <v>89</v>
      </c>
      <c r="D357" s="32" t="s">
        <v>201</v>
      </c>
      <c r="E357" s="32" t="s">
        <v>114</v>
      </c>
      <c r="F357" s="32" t="s">
        <v>42</v>
      </c>
      <c r="G357" s="74">
        <f t="shared" si="32"/>
        <v>890.01</v>
      </c>
      <c r="H357" s="74">
        <v>178</v>
      </c>
      <c r="I357" s="74">
        <v>222.5</v>
      </c>
      <c r="J357" s="74">
        <v>222.5</v>
      </c>
      <c r="K357" s="74">
        <v>267.01</v>
      </c>
      <c r="W357" s="74">
        <v>890.01</v>
      </c>
      <c r="X357" s="74">
        <v>890.01</v>
      </c>
    </row>
    <row r="358" spans="1:24" ht="12.75" customHeight="1" hidden="1">
      <c r="A358" s="26" t="s">
        <v>17</v>
      </c>
      <c r="B358" s="32" t="s">
        <v>88</v>
      </c>
      <c r="C358" s="32" t="s">
        <v>89</v>
      </c>
      <c r="D358" s="32" t="s">
        <v>201</v>
      </c>
      <c r="E358" s="32" t="s">
        <v>119</v>
      </c>
      <c r="F358" s="32" t="s">
        <v>43</v>
      </c>
      <c r="G358" s="74">
        <f>K358</f>
        <v>0</v>
      </c>
      <c r="H358" s="74">
        <v>0</v>
      </c>
      <c r="I358" s="74">
        <v>0</v>
      </c>
      <c r="J358" s="74">
        <v>0</v>
      </c>
      <c r="K358" s="74">
        <v>0</v>
      </c>
      <c r="W358" s="74">
        <v>0</v>
      </c>
      <c r="X358" s="74">
        <v>0</v>
      </c>
    </row>
    <row r="359" spans="1:24" ht="13.5" customHeight="1">
      <c r="A359" s="26" t="s">
        <v>18</v>
      </c>
      <c r="B359" s="32" t="s">
        <v>88</v>
      </c>
      <c r="C359" s="32" t="s">
        <v>89</v>
      </c>
      <c r="D359" s="32" t="s">
        <v>201</v>
      </c>
      <c r="E359" s="32" t="s">
        <v>293</v>
      </c>
      <c r="F359" s="32" t="s">
        <v>44</v>
      </c>
      <c r="G359" s="74">
        <f>H359+I359+J359+K359</f>
        <v>268.79999999999995</v>
      </c>
      <c r="H359" s="74">
        <v>53.8</v>
      </c>
      <c r="I359" s="74">
        <v>67.2</v>
      </c>
      <c r="J359" s="74">
        <v>67.2</v>
      </c>
      <c r="K359" s="74">
        <v>80.6</v>
      </c>
      <c r="W359" s="74">
        <v>268.8</v>
      </c>
      <c r="X359" s="74">
        <v>268.8</v>
      </c>
    </row>
    <row r="360" spans="1:24" ht="13.5" customHeight="1">
      <c r="A360" s="24" t="s">
        <v>273</v>
      </c>
      <c r="B360" s="39" t="s">
        <v>88</v>
      </c>
      <c r="C360" s="39" t="s">
        <v>274</v>
      </c>
      <c r="D360" s="31" t="s">
        <v>173</v>
      </c>
      <c r="E360" s="39" t="s">
        <v>66</v>
      </c>
      <c r="F360" s="39"/>
      <c r="G360" s="73">
        <f>H360+I360+J360+K360</f>
        <v>250</v>
      </c>
      <c r="H360" s="73">
        <f aca="true" t="shared" si="39" ref="H360:K361">H361</f>
        <v>50</v>
      </c>
      <c r="I360" s="73">
        <f t="shared" si="39"/>
        <v>50</v>
      </c>
      <c r="J360" s="73">
        <f t="shared" si="39"/>
        <v>100</v>
      </c>
      <c r="K360" s="73">
        <f t="shared" si="39"/>
        <v>50</v>
      </c>
      <c r="W360" s="73">
        <f>W361</f>
        <v>250</v>
      </c>
      <c r="X360" s="73">
        <f>X361</f>
        <v>250</v>
      </c>
    </row>
    <row r="361" spans="1:24" ht="44.25" customHeight="1">
      <c r="A361" s="30" t="s">
        <v>275</v>
      </c>
      <c r="B361" s="31" t="s">
        <v>88</v>
      </c>
      <c r="C361" s="31" t="s">
        <v>276</v>
      </c>
      <c r="D361" s="31" t="s">
        <v>277</v>
      </c>
      <c r="E361" s="31" t="s">
        <v>142</v>
      </c>
      <c r="F361" s="31"/>
      <c r="G361" s="75">
        <f>H361+I361+J361+K361</f>
        <v>250</v>
      </c>
      <c r="H361" s="75">
        <f t="shared" si="39"/>
        <v>50</v>
      </c>
      <c r="I361" s="75">
        <f t="shared" si="39"/>
        <v>50</v>
      </c>
      <c r="J361" s="75">
        <f t="shared" si="39"/>
        <v>100</v>
      </c>
      <c r="K361" s="75">
        <f t="shared" si="39"/>
        <v>50</v>
      </c>
      <c r="W361" s="75">
        <f>W362</f>
        <v>250</v>
      </c>
      <c r="X361" s="75">
        <f>X362</f>
        <v>250</v>
      </c>
    </row>
    <row r="362" spans="1:24" ht="21.75" customHeight="1">
      <c r="A362" s="25" t="s">
        <v>143</v>
      </c>
      <c r="B362" s="32" t="s">
        <v>88</v>
      </c>
      <c r="C362" s="32" t="s">
        <v>276</v>
      </c>
      <c r="D362" s="32" t="s">
        <v>277</v>
      </c>
      <c r="E362" s="32" t="s">
        <v>109</v>
      </c>
      <c r="F362" s="32" t="s">
        <v>51</v>
      </c>
      <c r="G362" s="74">
        <f>H362+I362+J362+K362</f>
        <v>250</v>
      </c>
      <c r="H362" s="74">
        <v>50</v>
      </c>
      <c r="I362" s="74">
        <f>100-50</f>
        <v>50</v>
      </c>
      <c r="J362" s="74">
        <f>50+50</f>
        <v>100</v>
      </c>
      <c r="K362" s="74">
        <v>50</v>
      </c>
      <c r="W362" s="74">
        <v>250</v>
      </c>
      <c r="X362" s="74">
        <v>250</v>
      </c>
    </row>
    <row r="363" spans="1:24" ht="16.5" customHeight="1">
      <c r="A363" s="36" t="s">
        <v>72</v>
      </c>
      <c r="B363" s="39" t="s">
        <v>88</v>
      </c>
      <c r="C363" s="39" t="s">
        <v>141</v>
      </c>
      <c r="D363" s="39" t="s">
        <v>173</v>
      </c>
      <c r="E363" s="39" t="s">
        <v>66</v>
      </c>
      <c r="F363" s="39"/>
      <c r="G363" s="73">
        <f>H363+I363+J363+K363</f>
        <v>168</v>
      </c>
      <c r="H363" s="73">
        <f aca="true" t="shared" si="40" ref="H363:K364">H364</f>
        <v>42</v>
      </c>
      <c r="I363" s="73">
        <f t="shared" si="40"/>
        <v>32</v>
      </c>
      <c r="J363" s="73">
        <f t="shared" si="40"/>
        <v>52</v>
      </c>
      <c r="K363" s="73">
        <f t="shared" si="40"/>
        <v>42</v>
      </c>
      <c r="W363" s="73">
        <f>W364</f>
        <v>168</v>
      </c>
      <c r="X363" s="73">
        <f>X364</f>
        <v>168</v>
      </c>
    </row>
    <row r="364" spans="1:24" ht="36" customHeight="1">
      <c r="A364" s="30" t="s">
        <v>470</v>
      </c>
      <c r="B364" s="31" t="s">
        <v>88</v>
      </c>
      <c r="C364" s="31" t="s">
        <v>79</v>
      </c>
      <c r="D364" s="31" t="s">
        <v>215</v>
      </c>
      <c r="E364" s="31" t="s">
        <v>142</v>
      </c>
      <c r="F364" s="31"/>
      <c r="G364" s="75">
        <f>G365</f>
        <v>168</v>
      </c>
      <c r="H364" s="75">
        <f t="shared" si="40"/>
        <v>42</v>
      </c>
      <c r="I364" s="75">
        <f t="shared" si="40"/>
        <v>32</v>
      </c>
      <c r="J364" s="75">
        <f t="shared" si="40"/>
        <v>52</v>
      </c>
      <c r="K364" s="75">
        <f t="shared" si="40"/>
        <v>42</v>
      </c>
      <c r="W364" s="75">
        <f>W365</f>
        <v>168</v>
      </c>
      <c r="X364" s="75">
        <f>X365</f>
        <v>168</v>
      </c>
    </row>
    <row r="365" spans="1:24" ht="46.5" customHeight="1">
      <c r="A365" s="35" t="s">
        <v>216</v>
      </c>
      <c r="B365" s="34" t="s">
        <v>88</v>
      </c>
      <c r="C365" s="34" t="s">
        <v>79</v>
      </c>
      <c r="D365" s="34" t="s">
        <v>254</v>
      </c>
      <c r="E365" s="34" t="s">
        <v>110</v>
      </c>
      <c r="F365" s="46"/>
      <c r="G365" s="71">
        <f>H365+I365+J365+K365</f>
        <v>168</v>
      </c>
      <c r="H365" s="71">
        <f>H367+H368+H366</f>
        <v>42</v>
      </c>
      <c r="I365" s="71">
        <f>I367+I368+I366</f>
        <v>32</v>
      </c>
      <c r="J365" s="71">
        <f>J367+J368+J366</f>
        <v>52</v>
      </c>
      <c r="K365" s="71">
        <f>K367+K368+K366</f>
        <v>42</v>
      </c>
      <c r="W365" s="71">
        <f>W367+W368+W366</f>
        <v>168</v>
      </c>
      <c r="X365" s="71">
        <f>X367+X368+X366</f>
        <v>168</v>
      </c>
    </row>
    <row r="366" spans="1:24" ht="12" customHeight="1" hidden="1">
      <c r="A366" s="26" t="s">
        <v>21</v>
      </c>
      <c r="B366" s="34" t="s">
        <v>88</v>
      </c>
      <c r="C366" s="34" t="s">
        <v>79</v>
      </c>
      <c r="D366" s="34" t="s">
        <v>254</v>
      </c>
      <c r="E366" s="34" t="s">
        <v>109</v>
      </c>
      <c r="F366" s="32" t="s">
        <v>49</v>
      </c>
      <c r="G366" s="74">
        <f>H366+I366+J366+K366</f>
        <v>0</v>
      </c>
      <c r="H366" s="74">
        <v>0</v>
      </c>
      <c r="I366" s="74">
        <v>0</v>
      </c>
      <c r="J366" s="74">
        <v>0</v>
      </c>
      <c r="K366" s="74">
        <v>0</v>
      </c>
      <c r="W366" s="74">
        <v>0</v>
      </c>
      <c r="X366" s="74">
        <v>0</v>
      </c>
    </row>
    <row r="367" spans="1:24" ht="12.75" customHeight="1">
      <c r="A367" s="25" t="s">
        <v>31</v>
      </c>
      <c r="B367" s="32" t="s">
        <v>88</v>
      </c>
      <c r="C367" s="32" t="s">
        <v>79</v>
      </c>
      <c r="D367" s="32" t="s">
        <v>254</v>
      </c>
      <c r="E367" s="32" t="s">
        <v>109</v>
      </c>
      <c r="F367" s="32" t="s">
        <v>53</v>
      </c>
      <c r="G367" s="74">
        <f>H367+I367+J367+K367</f>
        <v>168</v>
      </c>
      <c r="H367" s="74">
        <v>42</v>
      </c>
      <c r="I367" s="74">
        <f>42-10</f>
        <v>32</v>
      </c>
      <c r="J367" s="74">
        <f>42+10</f>
        <v>52</v>
      </c>
      <c r="K367" s="74">
        <v>42</v>
      </c>
      <c r="W367" s="74">
        <v>168</v>
      </c>
      <c r="X367" s="74">
        <v>168</v>
      </c>
    </row>
    <row r="368" spans="1:24" ht="12.75" customHeight="1">
      <c r="A368" s="26" t="s">
        <v>37</v>
      </c>
      <c r="B368" s="32" t="s">
        <v>88</v>
      </c>
      <c r="C368" s="32" t="s">
        <v>79</v>
      </c>
      <c r="D368" s="32" t="s">
        <v>254</v>
      </c>
      <c r="E368" s="32" t="s">
        <v>109</v>
      </c>
      <c r="F368" s="32" t="s">
        <v>57</v>
      </c>
      <c r="G368" s="74">
        <f>H368+I368+J368+K368</f>
        <v>0</v>
      </c>
      <c r="H368" s="74">
        <v>0</v>
      </c>
      <c r="I368" s="74">
        <v>0</v>
      </c>
      <c r="J368" s="74">
        <v>0</v>
      </c>
      <c r="K368" s="74">
        <v>0</v>
      </c>
      <c r="W368" s="74">
        <v>0</v>
      </c>
      <c r="X368" s="74">
        <v>0</v>
      </c>
    </row>
    <row r="369" spans="1:24" ht="15.75" customHeight="1">
      <c r="A369" s="36" t="s">
        <v>80</v>
      </c>
      <c r="B369" s="39"/>
      <c r="C369" s="39"/>
      <c r="D369" s="39"/>
      <c r="E369" s="39"/>
      <c r="F369" s="39"/>
      <c r="G369" s="73">
        <f>SUM(H369:K369)</f>
        <v>17063.59</v>
      </c>
      <c r="H369" s="73">
        <f>H370+H374+H391+H392+H393+H390</f>
        <v>3954.73</v>
      </c>
      <c r="I369" s="73">
        <f>I370+I374+I391+I392+I393+I390</f>
        <v>4208.5</v>
      </c>
      <c r="J369" s="73">
        <f>J370+J374+J391+J392+J393+J390</f>
        <v>4003</v>
      </c>
      <c r="K369" s="73">
        <f>K370+K374+K391+K392+K393+K390</f>
        <v>4897.36</v>
      </c>
      <c r="W369" s="73">
        <f>W370+W374+W391+W392+W393+W390</f>
        <v>17131.89</v>
      </c>
      <c r="X369" s="73">
        <f>X370+X374+X391+X392+X393+X390</f>
        <v>17163.690000000002</v>
      </c>
    </row>
    <row r="370" spans="1:24" ht="14.25" customHeight="1">
      <c r="A370" s="25" t="s">
        <v>15</v>
      </c>
      <c r="B370" s="32"/>
      <c r="C370" s="32"/>
      <c r="D370" s="32"/>
      <c r="E370" s="32"/>
      <c r="F370" s="32" t="s">
        <v>41</v>
      </c>
      <c r="G370" s="74">
        <f>H370+I370+J370+K370</f>
        <v>14471.05</v>
      </c>
      <c r="H370" s="74">
        <f>H371+H372+H373</f>
        <v>3167.1</v>
      </c>
      <c r="I370" s="74">
        <f>I371+I372+I373</f>
        <v>3617.7</v>
      </c>
      <c r="J370" s="74">
        <f>J371+J372+J373</f>
        <v>3618</v>
      </c>
      <c r="K370" s="74">
        <f>K371+K372+K373</f>
        <v>4068.2500000000005</v>
      </c>
      <c r="W370" s="74">
        <f>W371+W372+W373</f>
        <v>14471.05</v>
      </c>
      <c r="X370" s="74">
        <f>X371+X372+X373</f>
        <v>14471.05</v>
      </c>
    </row>
    <row r="371" spans="1:24" ht="13.5" customHeight="1">
      <c r="A371" s="26" t="s">
        <v>16</v>
      </c>
      <c r="B371" s="32"/>
      <c r="C371" s="32"/>
      <c r="D371" s="32"/>
      <c r="E371" s="32"/>
      <c r="F371" s="32" t="s">
        <v>42</v>
      </c>
      <c r="G371" s="74">
        <f>H371+I371+J371+K371</f>
        <v>11114.65</v>
      </c>
      <c r="H371" s="74">
        <f>H420+H449+H494+H498+H486+H490+H443</f>
        <v>2432.5</v>
      </c>
      <c r="I371" s="74">
        <f>I420+I449+I494+I498+I486+I490+I443</f>
        <v>2778.6</v>
      </c>
      <c r="J371" s="74">
        <f>J420+J449+J494+J498+J486+J490+J443</f>
        <v>2778.7999999999997</v>
      </c>
      <c r="K371" s="74">
        <f>K420+K449+K494+K498+K486+K490+K443</f>
        <v>3124.7500000000005</v>
      </c>
      <c r="W371" s="74">
        <f>W420+W449+W494+W498+W486+W490+W443</f>
        <v>11114.65</v>
      </c>
      <c r="X371" s="74">
        <f>X420+X449+X494+X498+X486+X490+X443</f>
        <v>11114.65</v>
      </c>
    </row>
    <row r="372" spans="1:24" ht="12" customHeight="1" hidden="1">
      <c r="A372" s="26" t="s">
        <v>17</v>
      </c>
      <c r="B372" s="32"/>
      <c r="C372" s="32"/>
      <c r="D372" s="32"/>
      <c r="E372" s="32"/>
      <c r="F372" s="32" t="s">
        <v>43</v>
      </c>
      <c r="G372" s="74"/>
      <c r="H372" s="74"/>
      <c r="I372" s="74"/>
      <c r="J372" s="74"/>
      <c r="K372" s="74"/>
      <c r="W372" s="74"/>
      <c r="X372" s="74"/>
    </row>
    <row r="373" spans="1:24" ht="12.75" customHeight="1">
      <c r="A373" s="26" t="s">
        <v>18</v>
      </c>
      <c r="B373" s="32"/>
      <c r="C373" s="32"/>
      <c r="D373" s="32"/>
      <c r="E373" s="32"/>
      <c r="F373" s="32" t="s">
        <v>44</v>
      </c>
      <c r="G373" s="74">
        <f>H373+I373+J373+K373</f>
        <v>3356.4000000000005</v>
      </c>
      <c r="H373" s="74">
        <f>H422+H451+H495+H499+H487+H491+H444</f>
        <v>734.6</v>
      </c>
      <c r="I373" s="74">
        <f>I422+I451+I495+I499+I487+I491+I444</f>
        <v>839.1000000000001</v>
      </c>
      <c r="J373" s="74">
        <f>J422+J451+J495+J499+J487+J491+J444</f>
        <v>839.2</v>
      </c>
      <c r="K373" s="74">
        <f>K422+K451+K495+K499+K487+K491+K444</f>
        <v>943.5</v>
      </c>
      <c r="W373" s="74">
        <f>W422+W451+W495+W499+W487+W491+W444</f>
        <v>3356.3999999999996</v>
      </c>
      <c r="X373" s="74">
        <f>X422+X451+X495+X499+X487+X491+X444</f>
        <v>3356.3999999999996</v>
      </c>
    </row>
    <row r="374" spans="1:24" ht="15.75" customHeight="1">
      <c r="A374" s="26" t="s">
        <v>19</v>
      </c>
      <c r="B374" s="32"/>
      <c r="C374" s="32"/>
      <c r="D374" s="32"/>
      <c r="E374" s="32"/>
      <c r="F374" s="32" t="s">
        <v>47</v>
      </c>
      <c r="G374" s="74">
        <f>H374+I374+J374+K374</f>
        <v>2057.6000000000004</v>
      </c>
      <c r="H374" s="74">
        <f>H375+H376+H377+H382+H389</f>
        <v>664.5000000000001</v>
      </c>
      <c r="I374" s="74">
        <f>I375+I376+I377+I382+I389</f>
        <v>457.3</v>
      </c>
      <c r="J374" s="74">
        <f>J375+J377+J382+J389</f>
        <v>251</v>
      </c>
      <c r="K374" s="74">
        <f>K375+K377+K382+K389</f>
        <v>684.8</v>
      </c>
      <c r="W374" s="74">
        <f>W375+W377+W382+W389</f>
        <v>2106.8</v>
      </c>
      <c r="X374" s="74">
        <f>X375+X377+X382+X389</f>
        <v>2157.7</v>
      </c>
    </row>
    <row r="375" spans="1:24" ht="15.75" customHeight="1">
      <c r="A375" s="26" t="s">
        <v>20</v>
      </c>
      <c r="B375" s="32"/>
      <c r="C375" s="32"/>
      <c r="D375" s="32"/>
      <c r="E375" s="32"/>
      <c r="F375" s="32" t="s">
        <v>48</v>
      </c>
      <c r="G375" s="74">
        <f>H375+I375+J375+K375</f>
        <v>90.19999999999999</v>
      </c>
      <c r="H375" s="74">
        <f>H424+H453</f>
        <v>19.7</v>
      </c>
      <c r="I375" s="74">
        <f>I424+I453</f>
        <v>22.8</v>
      </c>
      <c r="J375" s="74">
        <f>J424+J453</f>
        <v>22.8</v>
      </c>
      <c r="K375" s="74">
        <f>K424+K453</f>
        <v>24.9</v>
      </c>
      <c r="W375" s="74">
        <f>W424+W453</f>
        <v>93.9</v>
      </c>
      <c r="X375" s="74">
        <f>X424+X453</f>
        <v>97.6</v>
      </c>
    </row>
    <row r="376" spans="1:24" ht="15.75" customHeight="1" hidden="1">
      <c r="A376" s="26" t="s">
        <v>21</v>
      </c>
      <c r="B376" s="32"/>
      <c r="C376" s="32"/>
      <c r="D376" s="32"/>
      <c r="E376" s="32"/>
      <c r="F376" s="32" t="s">
        <v>49</v>
      </c>
      <c r="G376" s="74">
        <f>H376+I376+J376+K376</f>
        <v>0</v>
      </c>
      <c r="H376" s="74">
        <f>H411</f>
        <v>0</v>
      </c>
      <c r="I376" s="74">
        <f>I411</f>
        <v>0</v>
      </c>
      <c r="J376" s="74">
        <f>J411</f>
        <v>0</v>
      </c>
      <c r="K376" s="74">
        <f>K411</f>
        <v>0</v>
      </c>
      <c r="W376" s="74">
        <f>W411</f>
        <v>0</v>
      </c>
      <c r="X376" s="74">
        <f>X411</f>
        <v>0</v>
      </c>
    </row>
    <row r="377" spans="1:24" ht="15.75" customHeight="1">
      <c r="A377" s="26" t="s">
        <v>22</v>
      </c>
      <c r="B377" s="32"/>
      <c r="C377" s="32"/>
      <c r="D377" s="32"/>
      <c r="E377" s="32"/>
      <c r="F377" s="32" t="s">
        <v>50</v>
      </c>
      <c r="G377" s="74">
        <f>H377+I377+J377+K377</f>
        <v>1484.2000000000003</v>
      </c>
      <c r="H377" s="74">
        <f>H379+H380+H381</f>
        <v>547.8000000000001</v>
      </c>
      <c r="I377" s="74">
        <f>I379+I380+I381</f>
        <v>318.5</v>
      </c>
      <c r="J377" s="74">
        <f>J379+J380+J381</f>
        <v>106.2</v>
      </c>
      <c r="K377" s="74">
        <f>K379+K380+K381</f>
        <v>511.70000000000005</v>
      </c>
      <c r="W377" s="74">
        <f>W379+W380+W381</f>
        <v>1529.7</v>
      </c>
      <c r="X377" s="74">
        <f>X379+X380+X381</f>
        <v>1576.9</v>
      </c>
    </row>
    <row r="378" spans="1:24" ht="11.25" customHeight="1">
      <c r="A378" s="26" t="s">
        <v>23</v>
      </c>
      <c r="B378" s="32"/>
      <c r="C378" s="32"/>
      <c r="D378" s="32"/>
      <c r="E378" s="32"/>
      <c r="F378" s="32"/>
      <c r="G378" s="74"/>
      <c r="H378" s="74"/>
      <c r="I378" s="74"/>
      <c r="J378" s="74"/>
      <c r="K378" s="74"/>
      <c r="W378" s="74"/>
      <c r="X378" s="74"/>
    </row>
    <row r="379" spans="1:24" ht="15.75" customHeight="1">
      <c r="A379" s="26" t="s">
        <v>24</v>
      </c>
      <c r="B379" s="32"/>
      <c r="C379" s="32"/>
      <c r="D379" s="32"/>
      <c r="E379" s="32"/>
      <c r="F379" s="32" t="s">
        <v>50</v>
      </c>
      <c r="G379" s="74">
        <f>H379+I379+J379+K379</f>
        <v>1036.5</v>
      </c>
      <c r="H379" s="74">
        <f aca="true" t="shared" si="41" ref="H379:K381">H428+H457</f>
        <v>409</v>
      </c>
      <c r="I379" s="74">
        <f t="shared" si="41"/>
        <v>245.3</v>
      </c>
      <c r="J379" s="74">
        <f t="shared" si="41"/>
        <v>0</v>
      </c>
      <c r="K379" s="74">
        <f t="shared" si="41"/>
        <v>382.20000000000005</v>
      </c>
      <c r="W379" s="74">
        <f aca="true" t="shared" si="42" ref="W379:X381">W428+W457</f>
        <v>1077.9</v>
      </c>
      <c r="X379" s="74">
        <f t="shared" si="42"/>
        <v>1121</v>
      </c>
    </row>
    <row r="380" spans="1:24" ht="15.75" customHeight="1">
      <c r="A380" s="26" t="s">
        <v>25</v>
      </c>
      <c r="B380" s="32"/>
      <c r="C380" s="32"/>
      <c r="D380" s="32"/>
      <c r="E380" s="32"/>
      <c r="F380" s="32" t="s">
        <v>50</v>
      </c>
      <c r="G380" s="74">
        <f>H380+I380+J380+K380</f>
        <v>384.8</v>
      </c>
      <c r="H380" s="74">
        <f t="shared" si="41"/>
        <v>125.6</v>
      </c>
      <c r="I380" s="74">
        <f t="shared" si="41"/>
        <v>57</v>
      </c>
      <c r="J380" s="74">
        <f t="shared" si="41"/>
        <v>90</v>
      </c>
      <c r="K380" s="74">
        <f t="shared" si="41"/>
        <v>112.2</v>
      </c>
      <c r="W380" s="74">
        <f t="shared" si="42"/>
        <v>388.3</v>
      </c>
      <c r="X380" s="74">
        <f t="shared" si="42"/>
        <v>391.7</v>
      </c>
    </row>
    <row r="381" spans="1:24" ht="20.25" customHeight="1">
      <c r="A381" s="26" t="s">
        <v>26</v>
      </c>
      <c r="B381" s="32"/>
      <c r="C381" s="32"/>
      <c r="D381" s="32"/>
      <c r="E381" s="32"/>
      <c r="F381" s="32" t="s">
        <v>50</v>
      </c>
      <c r="G381" s="74">
        <f>H381+I381+J381+K381</f>
        <v>62.89999999999999</v>
      </c>
      <c r="H381" s="74">
        <f t="shared" si="41"/>
        <v>13.2</v>
      </c>
      <c r="I381" s="74">
        <f t="shared" si="41"/>
        <v>16.2</v>
      </c>
      <c r="J381" s="74">
        <f t="shared" si="41"/>
        <v>16.2</v>
      </c>
      <c r="K381" s="74">
        <f t="shared" si="41"/>
        <v>17.3</v>
      </c>
      <c r="W381" s="74">
        <f t="shared" si="42"/>
        <v>63.5</v>
      </c>
      <c r="X381" s="74">
        <f t="shared" si="42"/>
        <v>64.2</v>
      </c>
    </row>
    <row r="382" spans="1:24" ht="15.75" customHeight="1">
      <c r="A382" s="26" t="s">
        <v>27</v>
      </c>
      <c r="B382" s="32"/>
      <c r="C382" s="32"/>
      <c r="D382" s="32"/>
      <c r="E382" s="32"/>
      <c r="F382" s="32" t="s">
        <v>51</v>
      </c>
      <c r="G382" s="74">
        <f>H382+I382+J382+K382</f>
        <v>228.8</v>
      </c>
      <c r="H382" s="74">
        <f>H384+H386</f>
        <v>42</v>
      </c>
      <c r="I382" s="74">
        <f>I384+I386</f>
        <v>53</v>
      </c>
      <c r="J382" s="74">
        <f>J384+J386</f>
        <v>59</v>
      </c>
      <c r="K382" s="74">
        <f>K384+K386</f>
        <v>74.8</v>
      </c>
      <c r="W382" s="74">
        <f>W384+W386</f>
        <v>228.8</v>
      </c>
      <c r="X382" s="74">
        <f>X384+X386</f>
        <v>228.8</v>
      </c>
    </row>
    <row r="383" spans="1:24" ht="12.75" customHeight="1">
      <c r="A383" s="26" t="s">
        <v>23</v>
      </c>
      <c r="B383" s="32"/>
      <c r="C383" s="32"/>
      <c r="D383" s="32"/>
      <c r="E383" s="32"/>
      <c r="F383" s="32"/>
      <c r="G383" s="74"/>
      <c r="H383" s="74"/>
      <c r="I383" s="74"/>
      <c r="J383" s="74"/>
      <c r="K383" s="74"/>
      <c r="W383" s="74"/>
      <c r="X383" s="74"/>
    </row>
    <row r="384" spans="1:24" ht="15.75" customHeight="1">
      <c r="A384" s="26" t="s">
        <v>28</v>
      </c>
      <c r="B384" s="32"/>
      <c r="C384" s="32"/>
      <c r="D384" s="32"/>
      <c r="E384" s="32"/>
      <c r="F384" s="32" t="s">
        <v>51</v>
      </c>
      <c r="G384" s="74">
        <f>H384+I384+J384+K384</f>
        <v>228.8</v>
      </c>
      <c r="H384" s="74">
        <f>H433+H462</f>
        <v>42</v>
      </c>
      <c r="I384" s="74">
        <f>I433+I462</f>
        <v>53</v>
      </c>
      <c r="J384" s="74">
        <f>J433+J462</f>
        <v>59</v>
      </c>
      <c r="K384" s="74">
        <f>K433+K462</f>
        <v>74.8</v>
      </c>
      <c r="W384" s="74">
        <f>W433+W462</f>
        <v>228.8</v>
      </c>
      <c r="X384" s="74">
        <f>X433+X462</f>
        <v>228.8</v>
      </c>
    </row>
    <row r="385" spans="1:24" ht="15.75" customHeight="1" hidden="1">
      <c r="A385" s="26" t="s">
        <v>73</v>
      </c>
      <c r="B385" s="32"/>
      <c r="C385" s="32"/>
      <c r="D385" s="32"/>
      <c r="E385" s="32"/>
      <c r="F385" s="32" t="s">
        <v>51</v>
      </c>
      <c r="G385" s="74"/>
      <c r="H385" s="74"/>
      <c r="I385" s="74"/>
      <c r="J385" s="74"/>
      <c r="K385" s="74"/>
      <c r="W385" s="74"/>
      <c r="X385" s="74"/>
    </row>
    <row r="386" spans="1:24" ht="15.75" customHeight="1" hidden="1">
      <c r="A386" s="26" t="s">
        <v>29</v>
      </c>
      <c r="B386" s="32"/>
      <c r="C386" s="32"/>
      <c r="D386" s="32"/>
      <c r="E386" s="32"/>
      <c r="F386" s="32" t="s">
        <v>51</v>
      </c>
      <c r="G386" s="74">
        <f>H386+I386+J386+K386</f>
        <v>0</v>
      </c>
      <c r="H386" s="74">
        <f>H406+H408</f>
        <v>0</v>
      </c>
      <c r="I386" s="74">
        <f>I406+I408</f>
        <v>0</v>
      </c>
      <c r="J386" s="74">
        <f>J406+J408</f>
        <v>0</v>
      </c>
      <c r="K386" s="74">
        <f>K406+K408</f>
        <v>0</v>
      </c>
      <c r="W386" s="74">
        <f>W406+W408</f>
        <v>0</v>
      </c>
      <c r="X386" s="74">
        <f>X406+X408</f>
        <v>0</v>
      </c>
    </row>
    <row r="387" spans="1:24" ht="15.75" customHeight="1" hidden="1">
      <c r="A387" s="26" t="s">
        <v>74</v>
      </c>
      <c r="B387" s="32"/>
      <c r="C387" s="32"/>
      <c r="D387" s="32"/>
      <c r="E387" s="32"/>
      <c r="F387" s="32" t="s">
        <v>51</v>
      </c>
      <c r="G387" s="74"/>
      <c r="H387" s="74"/>
      <c r="I387" s="74"/>
      <c r="J387" s="74"/>
      <c r="K387" s="74"/>
      <c r="W387" s="74"/>
      <c r="X387" s="74"/>
    </row>
    <row r="388" spans="1:24" ht="15.75" customHeight="1" hidden="1">
      <c r="A388" s="26" t="s">
        <v>75</v>
      </c>
      <c r="B388" s="32"/>
      <c r="C388" s="32"/>
      <c r="D388" s="32"/>
      <c r="E388" s="32"/>
      <c r="F388" s="32" t="s">
        <v>51</v>
      </c>
      <c r="G388" s="74"/>
      <c r="H388" s="74"/>
      <c r="I388" s="74"/>
      <c r="J388" s="74"/>
      <c r="K388" s="74"/>
      <c r="W388" s="74"/>
      <c r="X388" s="74"/>
    </row>
    <row r="389" spans="1:24" ht="15.75" customHeight="1">
      <c r="A389" s="26" t="s">
        <v>30</v>
      </c>
      <c r="B389" s="32"/>
      <c r="C389" s="32"/>
      <c r="D389" s="32"/>
      <c r="E389" s="32"/>
      <c r="F389" s="32" t="s">
        <v>52</v>
      </c>
      <c r="G389" s="74">
        <f>H389+I389+J389+K389</f>
        <v>254.4</v>
      </c>
      <c r="H389" s="74">
        <f>H438+H467+H412</f>
        <v>55</v>
      </c>
      <c r="I389" s="74">
        <f>I438+I467+I412</f>
        <v>63</v>
      </c>
      <c r="J389" s="74">
        <f>J438+J467+J412</f>
        <v>63</v>
      </c>
      <c r="K389" s="74">
        <f>K438+K467+K412</f>
        <v>73.4</v>
      </c>
      <c r="W389" s="74">
        <f>W438+W467+W412</f>
        <v>254.4</v>
      </c>
      <c r="X389" s="74">
        <f>X438+X467+X412</f>
        <v>254.4</v>
      </c>
    </row>
    <row r="390" spans="1:24" ht="14.25" customHeight="1" hidden="1">
      <c r="A390" s="47" t="s">
        <v>148</v>
      </c>
      <c r="B390" s="32"/>
      <c r="C390" s="32"/>
      <c r="D390" s="32"/>
      <c r="E390" s="32"/>
      <c r="F390" s="32" t="s">
        <v>67</v>
      </c>
      <c r="G390" s="74">
        <f>H390+I390+J390+K390</f>
        <v>0</v>
      </c>
      <c r="H390" s="74"/>
      <c r="I390" s="74"/>
      <c r="J390" s="74"/>
      <c r="K390" s="74"/>
      <c r="W390" s="74"/>
      <c r="X390" s="74"/>
    </row>
    <row r="391" spans="1:24" ht="15.75" customHeight="1" hidden="1">
      <c r="A391" s="26" t="s">
        <v>32</v>
      </c>
      <c r="B391" s="32"/>
      <c r="C391" s="32"/>
      <c r="D391" s="32"/>
      <c r="E391" s="32"/>
      <c r="F391" s="32" t="s">
        <v>54</v>
      </c>
      <c r="G391" s="74"/>
      <c r="H391" s="74"/>
      <c r="I391" s="74"/>
      <c r="J391" s="74"/>
      <c r="K391" s="74"/>
      <c r="W391" s="74"/>
      <c r="X391" s="74"/>
    </row>
    <row r="392" spans="1:24" ht="15.75" customHeight="1">
      <c r="A392" s="26" t="s">
        <v>31</v>
      </c>
      <c r="B392" s="32"/>
      <c r="C392" s="32"/>
      <c r="D392" s="32"/>
      <c r="E392" s="32"/>
      <c r="F392" s="32" t="s">
        <v>53</v>
      </c>
      <c r="G392" s="74">
        <f>H392+I392+J392+K392</f>
        <v>478.74</v>
      </c>
      <c r="H392" s="74">
        <f>H440+H469+H413</f>
        <v>109.13</v>
      </c>
      <c r="I392" s="74">
        <f>I440+I469+I413</f>
        <v>119.5</v>
      </c>
      <c r="J392" s="74">
        <f>J440+J469+J413</f>
        <v>120</v>
      </c>
      <c r="K392" s="74">
        <f>K440+K469+K413</f>
        <v>130.11</v>
      </c>
      <c r="W392" s="74">
        <f>W440+W469+W413</f>
        <v>497.84000000000003</v>
      </c>
      <c r="X392" s="74">
        <f>X440+X469+X413</f>
        <v>478.74</v>
      </c>
    </row>
    <row r="393" spans="1:24" ht="14.25" customHeight="1">
      <c r="A393" s="25" t="s">
        <v>33</v>
      </c>
      <c r="B393" s="32"/>
      <c r="C393" s="32"/>
      <c r="D393" s="32"/>
      <c r="E393" s="32"/>
      <c r="F393" s="32" t="s">
        <v>55</v>
      </c>
      <c r="G393" s="74">
        <f>H393+I393+J393+K393</f>
        <v>56.2</v>
      </c>
      <c r="H393" s="74">
        <f>H394+H395</f>
        <v>14</v>
      </c>
      <c r="I393" s="74">
        <f>I394+I395</f>
        <v>14</v>
      </c>
      <c r="J393" s="74">
        <f>J394+J395</f>
        <v>14</v>
      </c>
      <c r="K393" s="74">
        <f>K394+K395</f>
        <v>14.2</v>
      </c>
      <c r="W393" s="74">
        <f>W394+W395</f>
        <v>56.2</v>
      </c>
      <c r="X393" s="74">
        <f>X394+X395</f>
        <v>56.2</v>
      </c>
    </row>
    <row r="394" spans="1:24" ht="12.75" customHeight="1" hidden="1">
      <c r="A394" s="25" t="s">
        <v>34</v>
      </c>
      <c r="B394" s="32"/>
      <c r="C394" s="32"/>
      <c r="D394" s="32"/>
      <c r="E394" s="32"/>
      <c r="F394" s="32" t="s">
        <v>56</v>
      </c>
      <c r="G394" s="74">
        <f>H394+I394+J394+K394</f>
        <v>0</v>
      </c>
      <c r="H394" s="74">
        <f>H402+H404+H414+H417+H471+H472+H479</f>
        <v>0</v>
      </c>
      <c r="I394" s="74">
        <f>I402+I404+I414+I417+I471+I472+I479</f>
        <v>0</v>
      </c>
      <c r="J394" s="74">
        <f>J402+J404+J414+J417+J471+J472+J479</f>
        <v>0</v>
      </c>
      <c r="K394" s="74">
        <f>K402+K404+K414+K417+K471+K472+K479</f>
        <v>0</v>
      </c>
      <c r="W394" s="74">
        <f>W402+W404+W414+W417+W471+W472+W479</f>
        <v>0</v>
      </c>
      <c r="X394" s="74">
        <f>X402+X404+X414+X417+X471+X472+X479</f>
        <v>0</v>
      </c>
    </row>
    <row r="395" spans="1:24" ht="15.75" customHeight="1">
      <c r="A395" s="25" t="s">
        <v>35</v>
      </c>
      <c r="B395" s="32"/>
      <c r="C395" s="32"/>
      <c r="D395" s="32"/>
      <c r="E395" s="32"/>
      <c r="F395" s="32" t="s">
        <v>57</v>
      </c>
      <c r="G395" s="74">
        <f>H395+I395+J395+K395</f>
        <v>56.2</v>
      </c>
      <c r="H395" s="74">
        <f>H399</f>
        <v>14</v>
      </c>
      <c r="I395" s="74">
        <f>I399</f>
        <v>14</v>
      </c>
      <c r="J395" s="74">
        <f>J399</f>
        <v>14</v>
      </c>
      <c r="K395" s="74">
        <f>K399</f>
        <v>14.2</v>
      </c>
      <c r="W395" s="74">
        <f>W399</f>
        <v>56.2</v>
      </c>
      <c r="X395" s="74">
        <f>X399</f>
        <v>56.2</v>
      </c>
    </row>
    <row r="396" spans="1:24" ht="11.25" customHeight="1">
      <c r="A396" s="25" t="s">
        <v>23</v>
      </c>
      <c r="B396" s="32"/>
      <c r="C396" s="32"/>
      <c r="D396" s="32"/>
      <c r="E396" s="32"/>
      <c r="F396" s="32"/>
      <c r="G396" s="74"/>
      <c r="H396" s="74"/>
      <c r="I396" s="74"/>
      <c r="J396" s="74"/>
      <c r="K396" s="74"/>
      <c r="W396" s="74"/>
      <c r="X396" s="74"/>
    </row>
    <row r="397" spans="1:24" ht="15.75" customHeight="1" hidden="1">
      <c r="A397" s="25" t="s">
        <v>36</v>
      </c>
      <c r="B397" s="32"/>
      <c r="C397" s="32"/>
      <c r="D397" s="32"/>
      <c r="E397" s="32"/>
      <c r="F397" s="32" t="s">
        <v>57</v>
      </c>
      <c r="G397" s="74"/>
      <c r="H397" s="74"/>
      <c r="I397" s="74"/>
      <c r="J397" s="74"/>
      <c r="K397" s="74"/>
      <c r="W397" s="74"/>
      <c r="X397" s="74"/>
    </row>
    <row r="398" spans="1:24" ht="15.75" customHeight="1" hidden="1">
      <c r="A398" s="25" t="s">
        <v>77</v>
      </c>
      <c r="B398" s="32"/>
      <c r="C398" s="32"/>
      <c r="D398" s="32"/>
      <c r="E398" s="32"/>
      <c r="F398" s="32" t="s">
        <v>57</v>
      </c>
      <c r="G398" s="74"/>
      <c r="H398" s="74"/>
      <c r="I398" s="74"/>
      <c r="J398" s="74"/>
      <c r="K398" s="74"/>
      <c r="W398" s="74"/>
      <c r="X398" s="74"/>
    </row>
    <row r="399" spans="1:24" ht="15.75" customHeight="1">
      <c r="A399" s="25" t="s">
        <v>37</v>
      </c>
      <c r="B399" s="32"/>
      <c r="C399" s="32"/>
      <c r="D399" s="32"/>
      <c r="E399" s="32"/>
      <c r="F399" s="32" t="s">
        <v>57</v>
      </c>
      <c r="G399" s="74">
        <f aca="true" t="shared" si="43" ref="G399:G406">H399+I399+J399+K399</f>
        <v>56.2</v>
      </c>
      <c r="H399" s="74">
        <f>H477+H415</f>
        <v>14</v>
      </c>
      <c r="I399" s="74">
        <f>I477+I415</f>
        <v>14</v>
      </c>
      <c r="J399" s="74">
        <f>J477+J415</f>
        <v>14</v>
      </c>
      <c r="K399" s="74">
        <f>K477+K415</f>
        <v>14.2</v>
      </c>
      <c r="W399" s="74">
        <f>W477+W415</f>
        <v>56.2</v>
      </c>
      <c r="X399" s="74">
        <f>X477+X415</f>
        <v>56.2</v>
      </c>
    </row>
    <row r="400" spans="1:24" ht="42" customHeight="1">
      <c r="A400" s="30" t="s">
        <v>471</v>
      </c>
      <c r="B400" s="31" t="s">
        <v>88</v>
      </c>
      <c r="C400" s="31" t="s">
        <v>81</v>
      </c>
      <c r="D400" s="31" t="s">
        <v>217</v>
      </c>
      <c r="E400" s="31" t="s">
        <v>66</v>
      </c>
      <c r="F400" s="31"/>
      <c r="G400" s="75">
        <f t="shared" si="43"/>
        <v>17063.589999999997</v>
      </c>
      <c r="H400" s="75">
        <f>H401+H403+H405+H418+H447+H407+H410+H484+H488++H492+H496+H416+H442+H478</f>
        <v>3954.73</v>
      </c>
      <c r="I400" s="75">
        <f>I401+I403+I405+I418+I447+I407+I410+I484+I488++I492+I496+I416+I442+I478</f>
        <v>4208.5</v>
      </c>
      <c r="J400" s="75">
        <f>J401+J403+J405+J418+J447+J407+J410+J484+J488++J492+J496+J416+J442+J478</f>
        <v>4003</v>
      </c>
      <c r="K400" s="75">
        <f>K401+K403+K405+K418+K447+K407+K410+K484+K488++K492+K496+K416+K442+K478</f>
        <v>4897.359999999999</v>
      </c>
      <c r="W400" s="75">
        <f>W401+W403+W405+W418+W447+W407+W410+W484+W488++W492+W496+W416+W442+W478</f>
        <v>17131.890000000003</v>
      </c>
      <c r="X400" s="75">
        <f>X401+X403+X405+X418+X447+X407+X410+X484+X488++X492+X496+X416+X442+X478</f>
        <v>17163.690000000002</v>
      </c>
    </row>
    <row r="401" spans="1:24" ht="23.25" customHeight="1" hidden="1">
      <c r="A401" s="35" t="s">
        <v>252</v>
      </c>
      <c r="B401" s="34" t="s">
        <v>88</v>
      </c>
      <c r="C401" s="34" t="s">
        <v>81</v>
      </c>
      <c r="D401" s="34" t="s">
        <v>218</v>
      </c>
      <c r="E401" s="34" t="s">
        <v>110</v>
      </c>
      <c r="F401" s="34"/>
      <c r="G401" s="71">
        <f t="shared" si="43"/>
        <v>0</v>
      </c>
      <c r="H401" s="71">
        <f>H402</f>
        <v>0</v>
      </c>
      <c r="I401" s="71">
        <f>I402</f>
        <v>0</v>
      </c>
      <c r="J401" s="71">
        <f>J402</f>
        <v>0</v>
      </c>
      <c r="K401" s="71">
        <f>K402</f>
        <v>0</v>
      </c>
      <c r="W401" s="71">
        <f>W402</f>
        <v>0</v>
      </c>
      <c r="X401" s="71">
        <f>X402</f>
        <v>0</v>
      </c>
    </row>
    <row r="402" spans="1:24" ht="15.75" customHeight="1" hidden="1">
      <c r="A402" s="25" t="s">
        <v>34</v>
      </c>
      <c r="B402" s="32" t="s">
        <v>88</v>
      </c>
      <c r="C402" s="32" t="s">
        <v>81</v>
      </c>
      <c r="D402" s="32" t="s">
        <v>218</v>
      </c>
      <c r="E402" s="32" t="s">
        <v>109</v>
      </c>
      <c r="F402" s="32" t="s">
        <v>56</v>
      </c>
      <c r="G402" s="74">
        <f t="shared" si="43"/>
        <v>0</v>
      </c>
      <c r="H402" s="76">
        <v>0</v>
      </c>
      <c r="I402" s="76">
        <f>30-30</f>
        <v>0</v>
      </c>
      <c r="J402" s="76">
        <v>0</v>
      </c>
      <c r="K402" s="76">
        <f>30-30</f>
        <v>0</v>
      </c>
      <c r="W402" s="76">
        <v>0</v>
      </c>
      <c r="X402" s="76">
        <f>30-30</f>
        <v>0</v>
      </c>
    </row>
    <row r="403" spans="1:24" ht="15.75" customHeight="1" hidden="1">
      <c r="A403" s="35" t="s">
        <v>219</v>
      </c>
      <c r="B403" s="34" t="s">
        <v>88</v>
      </c>
      <c r="C403" s="34" t="s">
        <v>81</v>
      </c>
      <c r="D403" s="34" t="s">
        <v>220</v>
      </c>
      <c r="E403" s="34" t="s">
        <v>110</v>
      </c>
      <c r="F403" s="34"/>
      <c r="G403" s="78">
        <f t="shared" si="43"/>
        <v>0</v>
      </c>
      <c r="H403" s="78">
        <f>H404</f>
        <v>0</v>
      </c>
      <c r="I403" s="78">
        <f>I404</f>
        <v>0</v>
      </c>
      <c r="J403" s="78">
        <f>J404</f>
        <v>0</v>
      </c>
      <c r="K403" s="78">
        <f>K404</f>
        <v>0</v>
      </c>
      <c r="W403" s="78">
        <f>W404</f>
        <v>0</v>
      </c>
      <c r="X403" s="78">
        <f>X404</f>
        <v>0</v>
      </c>
    </row>
    <row r="404" spans="1:24" ht="15.75" customHeight="1" hidden="1">
      <c r="A404" s="25" t="s">
        <v>34</v>
      </c>
      <c r="B404" s="32" t="s">
        <v>88</v>
      </c>
      <c r="C404" s="32" t="s">
        <v>81</v>
      </c>
      <c r="D404" s="32" t="s">
        <v>220</v>
      </c>
      <c r="E404" s="32" t="s">
        <v>109</v>
      </c>
      <c r="F404" s="32" t="s">
        <v>56</v>
      </c>
      <c r="G404" s="74">
        <f t="shared" si="43"/>
        <v>0</v>
      </c>
      <c r="H404" s="74">
        <v>0</v>
      </c>
      <c r="I404" s="76">
        <f>20-20</f>
        <v>0</v>
      </c>
      <c r="J404" s="76">
        <v>0</v>
      </c>
      <c r="K404" s="76">
        <f>20-20</f>
        <v>0</v>
      </c>
      <c r="W404" s="76">
        <v>0</v>
      </c>
      <c r="X404" s="76">
        <f>20-20</f>
        <v>0</v>
      </c>
    </row>
    <row r="405" spans="1:24" ht="16.5" customHeight="1" hidden="1">
      <c r="A405" s="35" t="s">
        <v>222</v>
      </c>
      <c r="B405" s="34" t="s">
        <v>88</v>
      </c>
      <c r="C405" s="34" t="s">
        <v>81</v>
      </c>
      <c r="D405" s="34" t="s">
        <v>221</v>
      </c>
      <c r="E405" s="34" t="s">
        <v>110</v>
      </c>
      <c r="F405" s="34"/>
      <c r="G405" s="71">
        <f t="shared" si="43"/>
        <v>0</v>
      </c>
      <c r="H405" s="71">
        <f>H406</f>
        <v>0</v>
      </c>
      <c r="I405" s="71">
        <f>I406</f>
        <v>0</v>
      </c>
      <c r="J405" s="71">
        <f>J406</f>
        <v>0</v>
      </c>
      <c r="K405" s="71">
        <f>K406</f>
        <v>0</v>
      </c>
      <c r="W405" s="71">
        <f>W406</f>
        <v>0</v>
      </c>
      <c r="X405" s="71">
        <f>X406</f>
        <v>0</v>
      </c>
    </row>
    <row r="406" spans="1:24" ht="15.75" customHeight="1" hidden="1">
      <c r="A406" s="25" t="s">
        <v>27</v>
      </c>
      <c r="B406" s="32" t="s">
        <v>88</v>
      </c>
      <c r="C406" s="32" t="s">
        <v>81</v>
      </c>
      <c r="D406" s="32" t="s">
        <v>221</v>
      </c>
      <c r="E406" s="32" t="s">
        <v>109</v>
      </c>
      <c r="F406" s="32" t="s">
        <v>51</v>
      </c>
      <c r="G406" s="74">
        <f t="shared" si="43"/>
        <v>0</v>
      </c>
      <c r="H406" s="74">
        <v>0</v>
      </c>
      <c r="I406" s="74">
        <v>0</v>
      </c>
      <c r="J406" s="74">
        <v>0</v>
      </c>
      <c r="K406" s="74">
        <v>0</v>
      </c>
      <c r="W406" s="74">
        <v>0</v>
      </c>
      <c r="X406" s="74">
        <v>0</v>
      </c>
    </row>
    <row r="407" spans="1:24" ht="15.75" customHeight="1" hidden="1">
      <c r="A407" s="35" t="s">
        <v>279</v>
      </c>
      <c r="B407" s="34" t="s">
        <v>88</v>
      </c>
      <c r="C407" s="34" t="s">
        <v>81</v>
      </c>
      <c r="D407" s="34" t="s">
        <v>278</v>
      </c>
      <c r="E407" s="34" t="s">
        <v>110</v>
      </c>
      <c r="F407" s="34"/>
      <c r="G407" s="71">
        <f aca="true" t="shared" si="44" ref="G407:G415">H407+I407+J407+K407</f>
        <v>0</v>
      </c>
      <c r="H407" s="71">
        <f>H408+H409</f>
        <v>0</v>
      </c>
      <c r="I407" s="71">
        <f>I408+I409</f>
        <v>0</v>
      </c>
      <c r="J407" s="71">
        <f>J408+J409</f>
        <v>0</v>
      </c>
      <c r="K407" s="71">
        <f>K408+K409</f>
        <v>0</v>
      </c>
      <c r="W407" s="71">
        <f>W408+W409</f>
        <v>0</v>
      </c>
      <c r="X407" s="71">
        <f>X408+X409</f>
        <v>0</v>
      </c>
    </row>
    <row r="408" spans="1:24" ht="15.75" customHeight="1" hidden="1">
      <c r="A408" s="25" t="s">
        <v>27</v>
      </c>
      <c r="B408" s="32" t="s">
        <v>88</v>
      </c>
      <c r="C408" s="32" t="s">
        <v>81</v>
      </c>
      <c r="D408" s="32" t="s">
        <v>278</v>
      </c>
      <c r="E408" s="32" t="s">
        <v>109</v>
      </c>
      <c r="F408" s="32" t="s">
        <v>51</v>
      </c>
      <c r="G408" s="74">
        <f t="shared" si="44"/>
        <v>0</v>
      </c>
      <c r="H408" s="74">
        <v>0</v>
      </c>
      <c r="I408" s="74">
        <f>60-60</f>
        <v>0</v>
      </c>
      <c r="J408" s="74">
        <v>0</v>
      </c>
      <c r="K408" s="74">
        <f>60-60</f>
        <v>0</v>
      </c>
      <c r="W408" s="74">
        <v>0</v>
      </c>
      <c r="X408" s="74">
        <f>60-60</f>
        <v>0</v>
      </c>
    </row>
    <row r="409" spans="1:24" ht="15.75" customHeight="1" hidden="1">
      <c r="A409" s="25" t="s">
        <v>27</v>
      </c>
      <c r="B409" s="32" t="s">
        <v>88</v>
      </c>
      <c r="C409" s="32" t="s">
        <v>81</v>
      </c>
      <c r="D409" s="32" t="s">
        <v>278</v>
      </c>
      <c r="E409" s="32" t="s">
        <v>109</v>
      </c>
      <c r="F409" s="32" t="s">
        <v>52</v>
      </c>
      <c r="G409" s="74">
        <f t="shared" si="44"/>
        <v>0</v>
      </c>
      <c r="H409" s="74">
        <v>0</v>
      </c>
      <c r="I409" s="74">
        <v>0</v>
      </c>
      <c r="J409" s="74">
        <v>0</v>
      </c>
      <c r="K409" s="74">
        <v>0</v>
      </c>
      <c r="W409" s="74">
        <v>0</v>
      </c>
      <c r="X409" s="74">
        <v>0</v>
      </c>
    </row>
    <row r="410" spans="1:24" ht="29.25" customHeight="1">
      <c r="A410" s="35" t="s">
        <v>336</v>
      </c>
      <c r="B410" s="34" t="s">
        <v>88</v>
      </c>
      <c r="C410" s="34" t="s">
        <v>81</v>
      </c>
      <c r="D410" s="34" t="s">
        <v>337</v>
      </c>
      <c r="E410" s="34" t="s">
        <v>110</v>
      </c>
      <c r="F410" s="34"/>
      <c r="G410" s="71">
        <f>H410+I410+J410+K410</f>
        <v>220</v>
      </c>
      <c r="H410" s="71">
        <f>H413+H414+H415+H411+H412</f>
        <v>55</v>
      </c>
      <c r="I410" s="71">
        <f>I413+I414+I415+I411+I412</f>
        <v>55</v>
      </c>
      <c r="J410" s="71">
        <f>J413+J414+J415+J411+J412</f>
        <v>55</v>
      </c>
      <c r="K410" s="71">
        <f>K413+K414+K415+K411+K412</f>
        <v>55</v>
      </c>
      <c r="W410" s="71">
        <f>W413+W414+W415+W411+W412</f>
        <v>220</v>
      </c>
      <c r="X410" s="71">
        <f>X413+X414+X415+X411+X412</f>
        <v>220</v>
      </c>
    </row>
    <row r="411" spans="1:24" ht="18.75" customHeight="1" hidden="1">
      <c r="A411" s="26" t="s">
        <v>21</v>
      </c>
      <c r="B411" s="32" t="s">
        <v>88</v>
      </c>
      <c r="C411" s="32" t="s">
        <v>81</v>
      </c>
      <c r="D411" s="32" t="s">
        <v>337</v>
      </c>
      <c r="E411" s="32" t="s">
        <v>109</v>
      </c>
      <c r="F411" s="32" t="s">
        <v>49</v>
      </c>
      <c r="G411" s="74">
        <f>H411+I411+J411+K411</f>
        <v>0</v>
      </c>
      <c r="H411" s="74">
        <v>0</v>
      </c>
      <c r="I411" s="74">
        <v>0</v>
      </c>
      <c r="J411" s="74">
        <v>0</v>
      </c>
      <c r="K411" s="74">
        <v>0</v>
      </c>
      <c r="W411" s="74">
        <v>0</v>
      </c>
      <c r="X411" s="74">
        <v>0</v>
      </c>
    </row>
    <row r="412" spans="1:24" ht="18.75" customHeight="1" hidden="1">
      <c r="A412" s="26" t="s">
        <v>30</v>
      </c>
      <c r="B412" s="32" t="s">
        <v>88</v>
      </c>
      <c r="C412" s="32" t="s">
        <v>81</v>
      </c>
      <c r="D412" s="32" t="s">
        <v>337</v>
      </c>
      <c r="E412" s="32" t="s">
        <v>109</v>
      </c>
      <c r="F412" s="32" t="s">
        <v>52</v>
      </c>
      <c r="G412" s="74">
        <f>H412+I412+J412+K412</f>
        <v>0</v>
      </c>
      <c r="H412" s="74">
        <v>0</v>
      </c>
      <c r="I412" s="74">
        <v>0</v>
      </c>
      <c r="J412" s="74">
        <v>0</v>
      </c>
      <c r="K412" s="74">
        <v>0</v>
      </c>
      <c r="W412" s="74">
        <v>0</v>
      </c>
      <c r="X412" s="74">
        <v>0</v>
      </c>
    </row>
    <row r="413" spans="1:24" ht="15.75" customHeight="1">
      <c r="A413" s="26" t="s">
        <v>31</v>
      </c>
      <c r="B413" s="32" t="s">
        <v>88</v>
      </c>
      <c r="C413" s="32" t="s">
        <v>81</v>
      </c>
      <c r="D413" s="32" t="s">
        <v>337</v>
      </c>
      <c r="E413" s="32" t="s">
        <v>109</v>
      </c>
      <c r="F413" s="32" t="s">
        <v>53</v>
      </c>
      <c r="G413" s="74">
        <f t="shared" si="44"/>
        <v>220</v>
      </c>
      <c r="H413" s="74">
        <v>55</v>
      </c>
      <c r="I413" s="74">
        <v>55</v>
      </c>
      <c r="J413" s="74">
        <v>55</v>
      </c>
      <c r="K413" s="74">
        <v>55</v>
      </c>
      <c r="W413" s="74">
        <v>220</v>
      </c>
      <c r="X413" s="74">
        <v>220</v>
      </c>
    </row>
    <row r="414" spans="1:24" ht="17.25" customHeight="1" hidden="1">
      <c r="A414" s="25" t="s">
        <v>34</v>
      </c>
      <c r="B414" s="32" t="s">
        <v>88</v>
      </c>
      <c r="C414" s="32" t="s">
        <v>81</v>
      </c>
      <c r="D414" s="32" t="s">
        <v>337</v>
      </c>
      <c r="E414" s="32" t="s">
        <v>109</v>
      </c>
      <c r="F414" s="32" t="s">
        <v>56</v>
      </c>
      <c r="G414" s="74">
        <f t="shared" si="44"/>
        <v>0</v>
      </c>
      <c r="H414" s="74">
        <v>0</v>
      </c>
      <c r="I414" s="74">
        <v>0</v>
      </c>
      <c r="J414" s="74">
        <v>0</v>
      </c>
      <c r="K414" s="74">
        <v>0</v>
      </c>
      <c r="W414" s="74">
        <v>0</v>
      </c>
      <c r="X414" s="74">
        <v>0</v>
      </c>
    </row>
    <row r="415" spans="1:24" ht="17.25" customHeight="1" hidden="1">
      <c r="A415" s="25" t="s">
        <v>37</v>
      </c>
      <c r="B415" s="32" t="s">
        <v>88</v>
      </c>
      <c r="C415" s="32" t="s">
        <v>81</v>
      </c>
      <c r="D415" s="32" t="s">
        <v>337</v>
      </c>
      <c r="E415" s="32" t="s">
        <v>109</v>
      </c>
      <c r="F415" s="32" t="s">
        <v>57</v>
      </c>
      <c r="G415" s="74">
        <f t="shared" si="44"/>
        <v>0</v>
      </c>
      <c r="H415" s="74">
        <v>0</v>
      </c>
      <c r="I415" s="74">
        <v>0</v>
      </c>
      <c r="J415" s="74">
        <v>0</v>
      </c>
      <c r="K415" s="74">
        <v>0</v>
      </c>
      <c r="W415" s="74">
        <v>0</v>
      </c>
      <c r="X415" s="74">
        <v>0</v>
      </c>
    </row>
    <row r="416" spans="1:24" ht="28.5" customHeight="1" hidden="1">
      <c r="A416" s="35" t="s">
        <v>378</v>
      </c>
      <c r="B416" s="32" t="s">
        <v>88</v>
      </c>
      <c r="C416" s="32" t="s">
        <v>81</v>
      </c>
      <c r="D416" s="32" t="s">
        <v>379</v>
      </c>
      <c r="E416" s="32" t="s">
        <v>110</v>
      </c>
      <c r="F416" s="32"/>
      <c r="G416" s="71">
        <f>H416+I416+J416+K416</f>
        <v>0</v>
      </c>
      <c r="H416" s="71">
        <f>H417</f>
        <v>0</v>
      </c>
      <c r="I416" s="71">
        <f>I417</f>
        <v>0</v>
      </c>
      <c r="J416" s="71">
        <f>J417</f>
        <v>0</v>
      </c>
      <c r="K416" s="71">
        <f>K417</f>
        <v>0</v>
      </c>
      <c r="W416" s="71">
        <f>W417</f>
        <v>0</v>
      </c>
      <c r="X416" s="71">
        <f>X417</f>
        <v>0</v>
      </c>
    </row>
    <row r="417" spans="1:24" ht="17.25" customHeight="1" hidden="1">
      <c r="A417" s="25" t="s">
        <v>34</v>
      </c>
      <c r="B417" s="32" t="s">
        <v>88</v>
      </c>
      <c r="C417" s="32" t="s">
        <v>81</v>
      </c>
      <c r="D417" s="32" t="s">
        <v>379</v>
      </c>
      <c r="E417" s="32" t="s">
        <v>109</v>
      </c>
      <c r="F417" s="32" t="s">
        <v>56</v>
      </c>
      <c r="G417" s="74">
        <f>H417+I417+J417+K417</f>
        <v>0</v>
      </c>
      <c r="H417" s="74">
        <f>300-300</f>
        <v>0</v>
      </c>
      <c r="I417" s="74">
        <f>300-300</f>
        <v>0</v>
      </c>
      <c r="J417" s="74">
        <v>0</v>
      </c>
      <c r="K417" s="74">
        <v>0</v>
      </c>
      <c r="W417" s="74">
        <v>0</v>
      </c>
      <c r="X417" s="74">
        <v>0</v>
      </c>
    </row>
    <row r="418" spans="1:24" ht="49.5" customHeight="1">
      <c r="A418" s="35" t="s">
        <v>224</v>
      </c>
      <c r="B418" s="34" t="s">
        <v>88</v>
      </c>
      <c r="C418" s="34" t="s">
        <v>81</v>
      </c>
      <c r="D418" s="34" t="s">
        <v>223</v>
      </c>
      <c r="E418" s="34" t="s">
        <v>149</v>
      </c>
      <c r="F418" s="34"/>
      <c r="G418" s="71">
        <f>H418+I418+J418+K418</f>
        <v>9769.37</v>
      </c>
      <c r="H418" s="71">
        <f>H419+H423+H439+H440</f>
        <v>2199.53</v>
      </c>
      <c r="I418" s="71">
        <f>I419+I423+I439+I440</f>
        <v>2394.3</v>
      </c>
      <c r="J418" s="71">
        <f>J419+J423+J439+J440</f>
        <v>2203</v>
      </c>
      <c r="K418" s="71">
        <f>K419+K423+K439+K440</f>
        <v>2972.5400000000004</v>
      </c>
      <c r="W418" s="71">
        <f>W419+W423+W439+W440</f>
        <v>9832.869999999999</v>
      </c>
      <c r="X418" s="71">
        <f>X419+X423+X439+X440</f>
        <v>9859.769999999999</v>
      </c>
    </row>
    <row r="419" spans="1:24" ht="14.25" customHeight="1">
      <c r="A419" s="25" t="s">
        <v>15</v>
      </c>
      <c r="B419" s="32" t="s">
        <v>88</v>
      </c>
      <c r="C419" s="32" t="s">
        <v>81</v>
      </c>
      <c r="D419" s="32" t="s">
        <v>223</v>
      </c>
      <c r="E419" s="32" t="s">
        <v>121</v>
      </c>
      <c r="F419" s="32" t="s">
        <v>123</v>
      </c>
      <c r="G419" s="74">
        <f>G420+G421+G422</f>
        <v>7936.73</v>
      </c>
      <c r="H419" s="74">
        <f>H420+H421+H422</f>
        <v>1587.4</v>
      </c>
      <c r="I419" s="74">
        <f>I420+I421+I422</f>
        <v>1984.2</v>
      </c>
      <c r="J419" s="74">
        <f>J420+J421+J422</f>
        <v>1984.2</v>
      </c>
      <c r="K419" s="74">
        <f>K420+K422</f>
        <v>2380.9300000000003</v>
      </c>
      <c r="W419" s="74">
        <f>W420+W421+W422</f>
        <v>7936.73</v>
      </c>
      <c r="X419" s="74">
        <f>X420+X422</f>
        <v>7936.73</v>
      </c>
    </row>
    <row r="420" spans="1:24" ht="15.75" customHeight="1">
      <c r="A420" s="26" t="s">
        <v>16</v>
      </c>
      <c r="B420" s="32" t="s">
        <v>88</v>
      </c>
      <c r="C420" s="32" t="s">
        <v>81</v>
      </c>
      <c r="D420" s="32" t="s">
        <v>223</v>
      </c>
      <c r="E420" s="32" t="s">
        <v>104</v>
      </c>
      <c r="F420" s="32" t="s">
        <v>124</v>
      </c>
      <c r="G420" s="74">
        <f>H420+I420+J420+K420</f>
        <v>6095.83</v>
      </c>
      <c r="H420" s="74">
        <v>1219.2</v>
      </c>
      <c r="I420" s="74">
        <v>1524</v>
      </c>
      <c r="J420" s="74">
        <v>1524</v>
      </c>
      <c r="K420" s="74">
        <v>1828.63</v>
      </c>
      <c r="W420" s="74">
        <v>6095.83</v>
      </c>
      <c r="X420" s="74">
        <v>6095.83</v>
      </c>
    </row>
    <row r="421" spans="1:24" ht="15.75" customHeight="1" hidden="1">
      <c r="A421" s="26" t="s">
        <v>17</v>
      </c>
      <c r="B421" s="32" t="s">
        <v>88</v>
      </c>
      <c r="C421" s="32" t="s">
        <v>81</v>
      </c>
      <c r="D421" s="32" t="s">
        <v>223</v>
      </c>
      <c r="E421" s="32" t="s">
        <v>104</v>
      </c>
      <c r="F421" s="32" t="s">
        <v>125</v>
      </c>
      <c r="G421" s="74"/>
      <c r="H421" s="74"/>
      <c r="I421" s="74"/>
      <c r="J421" s="74"/>
      <c r="K421" s="74"/>
      <c r="W421" s="74"/>
      <c r="X421" s="74"/>
    </row>
    <row r="422" spans="1:24" ht="15.75" customHeight="1">
      <c r="A422" s="26" t="s">
        <v>18</v>
      </c>
      <c r="B422" s="32" t="s">
        <v>88</v>
      </c>
      <c r="C422" s="32" t="s">
        <v>81</v>
      </c>
      <c r="D422" s="32" t="s">
        <v>223</v>
      </c>
      <c r="E422" s="32" t="s">
        <v>104</v>
      </c>
      <c r="F422" s="32" t="s">
        <v>126</v>
      </c>
      <c r="G422" s="74">
        <f>H422+I422+J422+K422</f>
        <v>1840.8999999999999</v>
      </c>
      <c r="H422" s="74">
        <v>368.2</v>
      </c>
      <c r="I422" s="74">
        <v>460.2</v>
      </c>
      <c r="J422" s="74">
        <v>460.2</v>
      </c>
      <c r="K422" s="74">
        <v>552.3</v>
      </c>
      <c r="W422" s="74">
        <v>1840.9</v>
      </c>
      <c r="X422" s="74">
        <v>1840.9</v>
      </c>
    </row>
    <row r="423" spans="1:24" ht="15.75" customHeight="1">
      <c r="A423" s="26" t="s">
        <v>19</v>
      </c>
      <c r="B423" s="32" t="s">
        <v>88</v>
      </c>
      <c r="C423" s="32" t="s">
        <v>81</v>
      </c>
      <c r="D423" s="32" t="s">
        <v>223</v>
      </c>
      <c r="E423" s="32" t="s">
        <v>104</v>
      </c>
      <c r="F423" s="32" t="s">
        <v>127</v>
      </c>
      <c r="G423" s="74">
        <f>G424+G426+G431+G438</f>
        <v>1604.4</v>
      </c>
      <c r="H423" s="74">
        <f>H424+H426+H431+H438</f>
        <v>565</v>
      </c>
      <c r="I423" s="74">
        <f>I424+I426+I431+I438</f>
        <v>353.1</v>
      </c>
      <c r="J423" s="74">
        <f>J424+J426+J431+J438</f>
        <v>161.8</v>
      </c>
      <c r="K423" s="74">
        <f>K424+K426+K431+K438</f>
        <v>524.5</v>
      </c>
      <c r="W423" s="74">
        <f>W424+W426+W431+W438</f>
        <v>1648.8000000000002</v>
      </c>
      <c r="X423" s="74">
        <f>X424+X426+X431+X438</f>
        <v>1694.8</v>
      </c>
    </row>
    <row r="424" spans="1:24" ht="15.75" customHeight="1">
      <c r="A424" s="26" t="s">
        <v>20</v>
      </c>
      <c r="B424" s="32" t="s">
        <v>88</v>
      </c>
      <c r="C424" s="32" t="s">
        <v>81</v>
      </c>
      <c r="D424" s="32" t="s">
        <v>223</v>
      </c>
      <c r="E424" s="32" t="s">
        <v>104</v>
      </c>
      <c r="F424" s="32" t="s">
        <v>128</v>
      </c>
      <c r="G424" s="74">
        <f>H424+I424+J424+K424</f>
        <v>68.39999999999999</v>
      </c>
      <c r="H424" s="74">
        <v>15</v>
      </c>
      <c r="I424" s="74">
        <v>17.8</v>
      </c>
      <c r="J424" s="74">
        <v>17.8</v>
      </c>
      <c r="K424" s="74">
        <v>17.8</v>
      </c>
      <c r="W424" s="74">
        <v>71.2</v>
      </c>
      <c r="X424" s="74">
        <v>74</v>
      </c>
    </row>
    <row r="425" spans="1:24" ht="15.75" customHeight="1" hidden="1">
      <c r="A425" s="26" t="s">
        <v>21</v>
      </c>
      <c r="B425" s="32" t="s">
        <v>88</v>
      </c>
      <c r="C425" s="32" t="s">
        <v>81</v>
      </c>
      <c r="D425" s="32" t="s">
        <v>223</v>
      </c>
      <c r="E425" s="32" t="s">
        <v>104</v>
      </c>
      <c r="F425" s="32" t="s">
        <v>129</v>
      </c>
      <c r="G425" s="74"/>
      <c r="H425" s="74"/>
      <c r="I425" s="74"/>
      <c r="J425" s="74"/>
      <c r="K425" s="74"/>
      <c r="W425" s="74"/>
      <c r="X425" s="74"/>
    </row>
    <row r="426" spans="1:24" ht="15.75" customHeight="1">
      <c r="A426" s="26" t="s">
        <v>22</v>
      </c>
      <c r="B426" s="32" t="s">
        <v>88</v>
      </c>
      <c r="C426" s="32" t="s">
        <v>81</v>
      </c>
      <c r="D426" s="32" t="s">
        <v>223</v>
      </c>
      <c r="E426" s="32" t="s">
        <v>104</v>
      </c>
      <c r="F426" s="32" t="s">
        <v>130</v>
      </c>
      <c r="G426" s="74">
        <f>G428+G429+G430</f>
        <v>1349.3</v>
      </c>
      <c r="H426" s="74">
        <f>H428+H429+H430</f>
        <v>504</v>
      </c>
      <c r="I426" s="74">
        <f>I428+I429+I430</f>
        <v>288.3</v>
      </c>
      <c r="J426" s="74">
        <f>J428+J429+J430</f>
        <v>97</v>
      </c>
      <c r="K426" s="74">
        <f>K428+K429+K430</f>
        <v>460.00000000000006</v>
      </c>
      <c r="W426" s="74">
        <f>W428+W429+W430</f>
        <v>1390.9</v>
      </c>
      <c r="X426" s="74">
        <f>X428+X429+X430</f>
        <v>1434.1</v>
      </c>
    </row>
    <row r="427" spans="1:24" ht="11.25" customHeight="1">
      <c r="A427" s="26" t="s">
        <v>23</v>
      </c>
      <c r="B427" s="32" t="s">
        <v>88</v>
      </c>
      <c r="C427" s="32" t="s">
        <v>81</v>
      </c>
      <c r="D427" s="32" t="s">
        <v>223</v>
      </c>
      <c r="E427" s="32" t="s">
        <v>104</v>
      </c>
      <c r="F427" s="32"/>
      <c r="G427" s="74"/>
      <c r="H427" s="74"/>
      <c r="I427" s="74"/>
      <c r="J427" s="74"/>
      <c r="K427" s="74"/>
      <c r="W427" s="74"/>
      <c r="X427" s="74"/>
    </row>
    <row r="428" spans="1:24" ht="15.75" customHeight="1">
      <c r="A428" s="26" t="s">
        <v>24</v>
      </c>
      <c r="B428" s="32" t="s">
        <v>88</v>
      </c>
      <c r="C428" s="32" t="s">
        <v>81</v>
      </c>
      <c r="D428" s="32" t="s">
        <v>223</v>
      </c>
      <c r="E428" s="32" t="s">
        <v>104</v>
      </c>
      <c r="F428" s="32" t="s">
        <v>130</v>
      </c>
      <c r="G428" s="74">
        <f>H428+I428+J428+K428</f>
        <v>951.4</v>
      </c>
      <c r="H428" s="74">
        <v>381</v>
      </c>
      <c r="I428" s="74">
        <v>228.3</v>
      </c>
      <c r="J428" s="74"/>
      <c r="K428" s="74">
        <v>342.1</v>
      </c>
      <c r="W428" s="74">
        <v>989.4</v>
      </c>
      <c r="X428" s="74">
        <v>1029</v>
      </c>
    </row>
    <row r="429" spans="1:24" ht="15.75" customHeight="1">
      <c r="A429" s="26" t="s">
        <v>25</v>
      </c>
      <c r="B429" s="32" t="s">
        <v>88</v>
      </c>
      <c r="C429" s="32" t="s">
        <v>81</v>
      </c>
      <c r="D429" s="32" t="s">
        <v>223</v>
      </c>
      <c r="E429" s="32" t="s">
        <v>104</v>
      </c>
      <c r="F429" s="32" t="s">
        <v>130</v>
      </c>
      <c r="G429" s="74">
        <f>H429+I429+J429+K429</f>
        <v>335.8</v>
      </c>
      <c r="H429" s="74">
        <v>110</v>
      </c>
      <c r="I429" s="74">
        <v>44</v>
      </c>
      <c r="J429" s="74">
        <v>81</v>
      </c>
      <c r="K429" s="74">
        <v>100.8</v>
      </c>
      <c r="W429" s="74">
        <v>338.8</v>
      </c>
      <c r="X429" s="74">
        <v>341.8</v>
      </c>
    </row>
    <row r="430" spans="1:24" ht="15.75" customHeight="1">
      <c r="A430" s="26" t="s">
        <v>26</v>
      </c>
      <c r="B430" s="32" t="s">
        <v>88</v>
      </c>
      <c r="C430" s="32" t="s">
        <v>81</v>
      </c>
      <c r="D430" s="32" t="s">
        <v>223</v>
      </c>
      <c r="E430" s="32" t="s">
        <v>104</v>
      </c>
      <c r="F430" s="32" t="s">
        <v>130</v>
      </c>
      <c r="G430" s="74">
        <f>H430+I430+J430+K430</f>
        <v>62.1</v>
      </c>
      <c r="H430" s="74">
        <v>13</v>
      </c>
      <c r="I430" s="74">
        <v>16</v>
      </c>
      <c r="J430" s="74">
        <v>16</v>
      </c>
      <c r="K430" s="74">
        <v>17.1</v>
      </c>
      <c r="W430" s="74">
        <v>62.7</v>
      </c>
      <c r="X430" s="74">
        <v>63.3</v>
      </c>
    </row>
    <row r="431" spans="1:24" ht="15.75" customHeight="1">
      <c r="A431" s="26" t="s">
        <v>27</v>
      </c>
      <c r="B431" s="32" t="s">
        <v>88</v>
      </c>
      <c r="C431" s="32" t="s">
        <v>81</v>
      </c>
      <c r="D431" s="32" t="s">
        <v>223</v>
      </c>
      <c r="E431" s="32" t="s">
        <v>104</v>
      </c>
      <c r="F431" s="32" t="s">
        <v>105</v>
      </c>
      <c r="G431" s="74">
        <f>G432+G433+G434+G435+G436+G437</f>
        <v>106.2</v>
      </c>
      <c r="H431" s="74">
        <f>H433</f>
        <v>26</v>
      </c>
      <c r="I431" s="74">
        <f>I433</f>
        <v>27</v>
      </c>
      <c r="J431" s="74">
        <f>J433</f>
        <v>27</v>
      </c>
      <c r="K431" s="74">
        <f>K433</f>
        <v>26.2</v>
      </c>
      <c r="W431" s="74">
        <f>W433</f>
        <v>106.2</v>
      </c>
      <c r="X431" s="74">
        <f>X433</f>
        <v>106.2</v>
      </c>
    </row>
    <row r="432" spans="1:24" ht="13.5" customHeight="1">
      <c r="A432" s="26" t="s">
        <v>23</v>
      </c>
      <c r="B432" s="32" t="s">
        <v>88</v>
      </c>
      <c r="C432" s="32" t="s">
        <v>81</v>
      </c>
      <c r="D432" s="32" t="s">
        <v>223</v>
      </c>
      <c r="E432" s="32" t="s">
        <v>104</v>
      </c>
      <c r="F432" s="32" t="s">
        <v>105</v>
      </c>
      <c r="G432" s="74"/>
      <c r="H432" s="74"/>
      <c r="I432" s="74"/>
      <c r="J432" s="74"/>
      <c r="K432" s="74"/>
      <c r="W432" s="74"/>
      <c r="X432" s="74"/>
    </row>
    <row r="433" spans="1:24" ht="15.75" customHeight="1">
      <c r="A433" s="26" t="s">
        <v>28</v>
      </c>
      <c r="B433" s="32" t="s">
        <v>88</v>
      </c>
      <c r="C433" s="32" t="s">
        <v>81</v>
      </c>
      <c r="D433" s="32" t="s">
        <v>223</v>
      </c>
      <c r="E433" s="32" t="s">
        <v>104</v>
      </c>
      <c r="F433" s="32" t="s">
        <v>105</v>
      </c>
      <c r="G433" s="74">
        <f>H433+I433+J433+K433</f>
        <v>106.2</v>
      </c>
      <c r="H433" s="74">
        <v>26</v>
      </c>
      <c r="I433" s="74">
        <v>27</v>
      </c>
      <c r="J433" s="74">
        <v>27</v>
      </c>
      <c r="K433" s="74">
        <v>26.2</v>
      </c>
      <c r="W433" s="74">
        <v>106.2</v>
      </c>
      <c r="X433" s="74">
        <v>106.2</v>
      </c>
    </row>
    <row r="434" spans="1:24" ht="15.75" customHeight="1" hidden="1">
      <c r="A434" s="26" t="s">
        <v>73</v>
      </c>
      <c r="B434" s="32" t="s">
        <v>88</v>
      </c>
      <c r="C434" s="32" t="s">
        <v>81</v>
      </c>
      <c r="D434" s="32" t="s">
        <v>223</v>
      </c>
      <c r="E434" s="32" t="s">
        <v>104</v>
      </c>
      <c r="F434" s="32" t="s">
        <v>105</v>
      </c>
      <c r="G434" s="74"/>
      <c r="H434" s="74"/>
      <c r="I434" s="74"/>
      <c r="J434" s="74"/>
      <c r="K434" s="74"/>
      <c r="W434" s="74"/>
      <c r="X434" s="74"/>
    </row>
    <row r="435" spans="1:24" ht="15.75" customHeight="1" hidden="1">
      <c r="A435" s="26" t="s">
        <v>29</v>
      </c>
      <c r="B435" s="32" t="s">
        <v>88</v>
      </c>
      <c r="C435" s="32" t="s">
        <v>81</v>
      </c>
      <c r="D435" s="32" t="s">
        <v>223</v>
      </c>
      <c r="E435" s="32" t="s">
        <v>104</v>
      </c>
      <c r="F435" s="32" t="s">
        <v>105</v>
      </c>
      <c r="G435" s="74">
        <f>H435+I435+J435+K435</f>
        <v>0</v>
      </c>
      <c r="H435" s="74"/>
      <c r="I435" s="74"/>
      <c r="J435" s="74"/>
      <c r="K435" s="74"/>
      <c r="W435" s="74"/>
      <c r="X435" s="74"/>
    </row>
    <row r="436" spans="1:24" ht="15.75" customHeight="1" hidden="1">
      <c r="A436" s="26" t="s">
        <v>74</v>
      </c>
      <c r="B436" s="32" t="s">
        <v>88</v>
      </c>
      <c r="C436" s="32" t="s">
        <v>81</v>
      </c>
      <c r="D436" s="32" t="s">
        <v>223</v>
      </c>
      <c r="E436" s="32" t="s">
        <v>104</v>
      </c>
      <c r="F436" s="32" t="s">
        <v>105</v>
      </c>
      <c r="G436" s="74"/>
      <c r="H436" s="74"/>
      <c r="I436" s="74"/>
      <c r="J436" s="74"/>
      <c r="K436" s="74"/>
      <c r="W436" s="74"/>
      <c r="X436" s="74"/>
    </row>
    <row r="437" spans="1:24" ht="15.75" customHeight="1" hidden="1">
      <c r="A437" s="26" t="s">
        <v>75</v>
      </c>
      <c r="B437" s="32" t="s">
        <v>88</v>
      </c>
      <c r="C437" s="32" t="s">
        <v>81</v>
      </c>
      <c r="D437" s="32" t="s">
        <v>223</v>
      </c>
      <c r="E437" s="32" t="s">
        <v>104</v>
      </c>
      <c r="F437" s="32" t="s">
        <v>105</v>
      </c>
      <c r="G437" s="74"/>
      <c r="H437" s="74"/>
      <c r="I437" s="74"/>
      <c r="J437" s="74"/>
      <c r="K437" s="74"/>
      <c r="W437" s="74"/>
      <c r="X437" s="74"/>
    </row>
    <row r="438" spans="1:24" ht="15.75" customHeight="1">
      <c r="A438" s="26" t="s">
        <v>30</v>
      </c>
      <c r="B438" s="32" t="s">
        <v>88</v>
      </c>
      <c r="C438" s="32" t="s">
        <v>81</v>
      </c>
      <c r="D438" s="32" t="s">
        <v>223</v>
      </c>
      <c r="E438" s="32" t="s">
        <v>104</v>
      </c>
      <c r="F438" s="32" t="s">
        <v>106</v>
      </c>
      <c r="G438" s="74">
        <f>H438+I438+J438+K438</f>
        <v>80.5</v>
      </c>
      <c r="H438" s="74">
        <v>20</v>
      </c>
      <c r="I438" s="74">
        <v>20</v>
      </c>
      <c r="J438" s="74">
        <v>20</v>
      </c>
      <c r="K438" s="74">
        <v>20.5</v>
      </c>
      <c r="W438" s="74">
        <v>80.5</v>
      </c>
      <c r="X438" s="74">
        <v>80.5</v>
      </c>
    </row>
    <row r="439" spans="1:24" ht="15.75" customHeight="1" hidden="1">
      <c r="A439" s="26" t="s">
        <v>32</v>
      </c>
      <c r="B439" s="32" t="s">
        <v>88</v>
      </c>
      <c r="C439" s="32" t="s">
        <v>81</v>
      </c>
      <c r="D439" s="32" t="s">
        <v>223</v>
      </c>
      <c r="E439" s="32" t="s">
        <v>104</v>
      </c>
      <c r="F439" s="32" t="s">
        <v>131</v>
      </c>
      <c r="G439" s="74"/>
      <c r="H439" s="74"/>
      <c r="I439" s="74"/>
      <c r="J439" s="74"/>
      <c r="K439" s="74"/>
      <c r="W439" s="74"/>
      <c r="X439" s="74"/>
    </row>
    <row r="440" spans="1:24" ht="15.75" customHeight="1">
      <c r="A440" s="26" t="s">
        <v>31</v>
      </c>
      <c r="B440" s="32" t="s">
        <v>88</v>
      </c>
      <c r="C440" s="32" t="s">
        <v>81</v>
      </c>
      <c r="D440" s="32" t="s">
        <v>223</v>
      </c>
      <c r="E440" s="32" t="s">
        <v>104</v>
      </c>
      <c r="F440" s="32" t="s">
        <v>132</v>
      </c>
      <c r="G440" s="74">
        <f>H440+I440+J440+K440</f>
        <v>228.24</v>
      </c>
      <c r="H440" s="74">
        <f>57-9.87</f>
        <v>47.13</v>
      </c>
      <c r="I440" s="74">
        <v>57</v>
      </c>
      <c r="J440" s="74">
        <v>57</v>
      </c>
      <c r="K440" s="74">
        <f>57.24+9.87</f>
        <v>67.11</v>
      </c>
      <c r="W440" s="74">
        <v>247.34</v>
      </c>
      <c r="X440" s="74">
        <v>228.24</v>
      </c>
    </row>
    <row r="441" spans="1:24" ht="67.5" customHeight="1" hidden="1">
      <c r="A441" s="61" t="s">
        <v>384</v>
      </c>
      <c r="B441" s="60" t="s">
        <v>88</v>
      </c>
      <c r="C441" s="60" t="s">
        <v>81</v>
      </c>
      <c r="D441" s="60" t="s">
        <v>385</v>
      </c>
      <c r="E441" s="60" t="s">
        <v>149</v>
      </c>
      <c r="F441" s="67"/>
      <c r="G441" s="71">
        <f>H441+I441+J441+K441</f>
        <v>0</v>
      </c>
      <c r="H441" s="71">
        <f>H442</f>
        <v>0</v>
      </c>
      <c r="I441" s="71">
        <f>I442</f>
        <v>0</v>
      </c>
      <c r="J441" s="71">
        <f>J442</f>
        <v>0</v>
      </c>
      <c r="K441" s="71">
        <f>K442</f>
        <v>0</v>
      </c>
      <c r="L441" s="63"/>
      <c r="M441" s="63"/>
      <c r="N441" s="63"/>
      <c r="O441" s="63"/>
      <c r="P441" s="63"/>
      <c r="Q441" s="63"/>
      <c r="W441" s="71">
        <f>W442</f>
        <v>0</v>
      </c>
      <c r="X441" s="71">
        <f>X442</f>
        <v>0</v>
      </c>
    </row>
    <row r="442" spans="1:24" ht="15.75" customHeight="1" hidden="1">
      <c r="A442" s="64" t="s">
        <v>15</v>
      </c>
      <c r="B442" s="65" t="s">
        <v>88</v>
      </c>
      <c r="C442" s="65" t="s">
        <v>81</v>
      </c>
      <c r="D442" s="65" t="s">
        <v>385</v>
      </c>
      <c r="E442" s="62" t="s">
        <v>121</v>
      </c>
      <c r="F442" s="62" t="s">
        <v>123</v>
      </c>
      <c r="G442" s="79">
        <f>H442+I442+J442+K442</f>
        <v>0</v>
      </c>
      <c r="H442" s="79">
        <f>H443+H444</f>
        <v>0</v>
      </c>
      <c r="I442" s="79">
        <f>I443+I444</f>
        <v>0</v>
      </c>
      <c r="J442" s="79">
        <f>J443+J444</f>
        <v>0</v>
      </c>
      <c r="K442" s="79">
        <f>K443+K444</f>
        <v>0</v>
      </c>
      <c r="L442" s="63"/>
      <c r="M442" s="63"/>
      <c r="N442" s="63"/>
      <c r="O442" s="63"/>
      <c r="P442" s="63"/>
      <c r="Q442" s="63"/>
      <c r="W442" s="79">
        <f>W443+W444</f>
        <v>0</v>
      </c>
      <c r="X442" s="79">
        <f>X443+X444</f>
        <v>0</v>
      </c>
    </row>
    <row r="443" spans="1:24" ht="15.75" customHeight="1" hidden="1">
      <c r="A443" s="66" t="s">
        <v>16</v>
      </c>
      <c r="B443" s="65" t="s">
        <v>88</v>
      </c>
      <c r="C443" s="65" t="s">
        <v>81</v>
      </c>
      <c r="D443" s="65" t="s">
        <v>385</v>
      </c>
      <c r="E443" s="62" t="s">
        <v>104</v>
      </c>
      <c r="F443" s="62" t="s">
        <v>124</v>
      </c>
      <c r="G443" s="79">
        <f>H443+I443+J443+K443</f>
        <v>0</v>
      </c>
      <c r="H443" s="79"/>
      <c r="I443" s="79"/>
      <c r="J443" s="79"/>
      <c r="K443" s="79"/>
      <c r="L443" s="63"/>
      <c r="M443" s="63"/>
      <c r="N443" s="63"/>
      <c r="O443" s="63"/>
      <c r="P443" s="63"/>
      <c r="Q443" s="63"/>
      <c r="W443" s="79"/>
      <c r="X443" s="79"/>
    </row>
    <row r="444" spans="1:24" ht="15.75" customHeight="1" hidden="1">
      <c r="A444" s="66" t="s">
        <v>18</v>
      </c>
      <c r="B444" s="65" t="s">
        <v>88</v>
      </c>
      <c r="C444" s="65" t="s">
        <v>81</v>
      </c>
      <c r="D444" s="65" t="s">
        <v>385</v>
      </c>
      <c r="E444" s="62" t="s">
        <v>104</v>
      </c>
      <c r="F444" s="62" t="s">
        <v>126</v>
      </c>
      <c r="G444" s="79">
        <f>H444+I444+J444+K444</f>
        <v>0</v>
      </c>
      <c r="H444" s="79"/>
      <c r="I444" s="79"/>
      <c r="J444" s="79"/>
      <c r="K444" s="79"/>
      <c r="L444" s="63"/>
      <c r="M444" s="63"/>
      <c r="N444" s="63"/>
      <c r="O444" s="63"/>
      <c r="P444" s="63"/>
      <c r="Q444" s="63"/>
      <c r="W444" s="79"/>
      <c r="X444" s="79"/>
    </row>
    <row r="445" spans="1:24" ht="15.75" customHeight="1" hidden="1">
      <c r="A445" s="26"/>
      <c r="B445" s="32"/>
      <c r="C445" s="32"/>
      <c r="D445" s="32"/>
      <c r="E445" s="32"/>
      <c r="F445" s="32"/>
      <c r="G445" s="74"/>
      <c r="H445" s="74"/>
      <c r="I445" s="74"/>
      <c r="J445" s="74"/>
      <c r="K445" s="74"/>
      <c r="W445" s="74"/>
      <c r="X445" s="74"/>
    </row>
    <row r="446" spans="1:24" ht="15.75" customHeight="1" hidden="1">
      <c r="A446" s="26"/>
      <c r="B446" s="32"/>
      <c r="C446" s="32"/>
      <c r="D446" s="32"/>
      <c r="E446" s="32"/>
      <c r="F446" s="32"/>
      <c r="G446" s="74"/>
      <c r="H446" s="74"/>
      <c r="I446" s="74"/>
      <c r="J446" s="74"/>
      <c r="K446" s="74"/>
      <c r="W446" s="74"/>
      <c r="X446" s="74"/>
    </row>
    <row r="447" spans="1:24" ht="51.75" customHeight="1">
      <c r="A447" s="35" t="s">
        <v>253</v>
      </c>
      <c r="B447" s="34" t="s">
        <v>88</v>
      </c>
      <c r="C447" s="34" t="s">
        <v>81</v>
      </c>
      <c r="D447" s="34" t="s">
        <v>225</v>
      </c>
      <c r="E447" s="34" t="s">
        <v>149</v>
      </c>
      <c r="F447" s="31"/>
      <c r="G447" s="71">
        <f>H447+I447+J447+K447</f>
        <v>1613.4199999999998</v>
      </c>
      <c r="H447" s="71">
        <f>H448+H452+H470+H469</f>
        <v>335.2</v>
      </c>
      <c r="I447" s="71">
        <f>I448+I452+I470+I469</f>
        <v>394.09999999999997</v>
      </c>
      <c r="J447" s="71">
        <f>J448+J452+J470+J469</f>
        <v>379.59999999999997</v>
      </c>
      <c r="K447" s="71">
        <f>K448+K452+K470+K469</f>
        <v>504.52</v>
      </c>
      <c r="W447" s="71">
        <f>W448+W452+W470+W469</f>
        <v>1618.22</v>
      </c>
      <c r="X447" s="71">
        <f>X448+X452+X470+X469</f>
        <v>1623.1200000000001</v>
      </c>
    </row>
    <row r="448" spans="1:24" ht="15.75" customHeight="1">
      <c r="A448" s="25" t="s">
        <v>15</v>
      </c>
      <c r="B448" s="32" t="s">
        <v>88</v>
      </c>
      <c r="C448" s="32" t="s">
        <v>81</v>
      </c>
      <c r="D448" s="32" t="s">
        <v>225</v>
      </c>
      <c r="E448" s="32" t="s">
        <v>121</v>
      </c>
      <c r="F448" s="32" t="s">
        <v>123</v>
      </c>
      <c r="G448" s="74">
        <f>H448+I448+J448+K448</f>
        <v>1073.52</v>
      </c>
      <c r="H448" s="74">
        <f>H449+H451</f>
        <v>214.7</v>
      </c>
      <c r="I448" s="74">
        <f>I449+I451</f>
        <v>268.4</v>
      </c>
      <c r="J448" s="74">
        <f>J449+J451</f>
        <v>268.4</v>
      </c>
      <c r="K448" s="74">
        <f>K449+K451</f>
        <v>322.02</v>
      </c>
      <c r="W448" s="74">
        <f>W449+W451</f>
        <v>1073.52</v>
      </c>
      <c r="X448" s="74">
        <f>X449+X451</f>
        <v>1073.52</v>
      </c>
    </row>
    <row r="449" spans="1:24" ht="15.75" customHeight="1">
      <c r="A449" s="26" t="s">
        <v>16</v>
      </c>
      <c r="B449" s="32" t="s">
        <v>88</v>
      </c>
      <c r="C449" s="32" t="s">
        <v>81</v>
      </c>
      <c r="D449" s="32" t="s">
        <v>225</v>
      </c>
      <c r="E449" s="32" t="s">
        <v>104</v>
      </c>
      <c r="F449" s="32" t="s">
        <v>124</v>
      </c>
      <c r="G449" s="74">
        <f>H449+I449+J449+K449</f>
        <v>824.52</v>
      </c>
      <c r="H449" s="74">
        <v>164.9</v>
      </c>
      <c r="I449" s="74">
        <v>206.1</v>
      </c>
      <c r="J449" s="74">
        <v>206.1</v>
      </c>
      <c r="K449" s="74">
        <v>247.42</v>
      </c>
      <c r="W449" s="74">
        <v>824.52</v>
      </c>
      <c r="X449" s="74">
        <v>824.52</v>
      </c>
    </row>
    <row r="450" spans="1:24" ht="15.75" customHeight="1" hidden="1">
      <c r="A450" s="26" t="s">
        <v>17</v>
      </c>
      <c r="B450" s="32" t="s">
        <v>88</v>
      </c>
      <c r="C450" s="32" t="s">
        <v>81</v>
      </c>
      <c r="D450" s="32" t="s">
        <v>225</v>
      </c>
      <c r="E450" s="32" t="s">
        <v>104</v>
      </c>
      <c r="F450" s="32" t="s">
        <v>125</v>
      </c>
      <c r="G450" s="74"/>
      <c r="H450" s="74"/>
      <c r="I450" s="74"/>
      <c r="J450" s="74"/>
      <c r="K450" s="74"/>
      <c r="W450" s="74"/>
      <c r="X450" s="74"/>
    </row>
    <row r="451" spans="1:24" ht="15.75" customHeight="1">
      <c r="A451" s="26" t="s">
        <v>18</v>
      </c>
      <c r="B451" s="32" t="s">
        <v>88</v>
      </c>
      <c r="C451" s="32" t="s">
        <v>81</v>
      </c>
      <c r="D451" s="32" t="s">
        <v>225</v>
      </c>
      <c r="E451" s="32" t="s">
        <v>104</v>
      </c>
      <c r="F451" s="32" t="s">
        <v>126</v>
      </c>
      <c r="G451" s="74">
        <f>H451+I451+J451+K451</f>
        <v>248.99999999999997</v>
      </c>
      <c r="H451" s="74">
        <v>49.8</v>
      </c>
      <c r="I451" s="74">
        <v>62.3</v>
      </c>
      <c r="J451" s="74">
        <v>62.3</v>
      </c>
      <c r="K451" s="74">
        <v>74.6</v>
      </c>
      <c r="W451" s="74">
        <v>249</v>
      </c>
      <c r="X451" s="74">
        <v>249</v>
      </c>
    </row>
    <row r="452" spans="1:24" ht="14.25" customHeight="1">
      <c r="A452" s="26" t="s">
        <v>19</v>
      </c>
      <c r="B452" s="32" t="s">
        <v>88</v>
      </c>
      <c r="C452" s="32" t="s">
        <v>81</v>
      </c>
      <c r="D452" s="32" t="s">
        <v>225</v>
      </c>
      <c r="E452" s="32" t="s">
        <v>104</v>
      </c>
      <c r="F452" s="32" t="s">
        <v>127</v>
      </c>
      <c r="G452" s="74">
        <f>H452+I452+J452+K452</f>
        <v>453.2</v>
      </c>
      <c r="H452" s="74">
        <f>H453+H455+H460+H467</f>
        <v>99.5</v>
      </c>
      <c r="I452" s="74">
        <f>I453+I455+I460+I467</f>
        <v>104.2</v>
      </c>
      <c r="J452" s="74">
        <f>J453+J455+J460+J467</f>
        <v>89.2</v>
      </c>
      <c r="K452" s="74">
        <f>K453+K455+K460+K467</f>
        <v>160.3</v>
      </c>
      <c r="W452" s="74">
        <f>W453+W455+W460+W467</f>
        <v>458</v>
      </c>
      <c r="X452" s="74">
        <f>X453+X455+X460+X467</f>
        <v>462.9</v>
      </c>
    </row>
    <row r="453" spans="1:24" ht="15.75" customHeight="1">
      <c r="A453" s="26" t="s">
        <v>20</v>
      </c>
      <c r="B453" s="32" t="s">
        <v>88</v>
      </c>
      <c r="C453" s="32" t="s">
        <v>81</v>
      </c>
      <c r="D453" s="32" t="s">
        <v>225</v>
      </c>
      <c r="E453" s="32" t="s">
        <v>104</v>
      </c>
      <c r="F453" s="32" t="s">
        <v>128</v>
      </c>
      <c r="G453" s="74">
        <f>H453+I453+J453+K453</f>
        <v>21.799999999999997</v>
      </c>
      <c r="H453" s="74">
        <v>4.7</v>
      </c>
      <c r="I453" s="74">
        <v>5</v>
      </c>
      <c r="J453" s="74">
        <v>5</v>
      </c>
      <c r="K453" s="74">
        <v>7.1</v>
      </c>
      <c r="W453" s="74">
        <v>22.7</v>
      </c>
      <c r="X453" s="74">
        <v>23.6</v>
      </c>
    </row>
    <row r="454" spans="1:24" ht="15.75" customHeight="1" hidden="1">
      <c r="A454" s="26" t="s">
        <v>21</v>
      </c>
      <c r="B454" s="32" t="s">
        <v>88</v>
      </c>
      <c r="C454" s="32" t="s">
        <v>81</v>
      </c>
      <c r="D454" s="32" t="s">
        <v>225</v>
      </c>
      <c r="E454" s="32" t="s">
        <v>104</v>
      </c>
      <c r="F454" s="32" t="s">
        <v>129</v>
      </c>
      <c r="G454" s="74"/>
      <c r="H454" s="74"/>
      <c r="I454" s="74"/>
      <c r="J454" s="74"/>
      <c r="K454" s="74"/>
      <c r="W454" s="74"/>
      <c r="X454" s="74"/>
    </row>
    <row r="455" spans="1:24" ht="15.75" customHeight="1">
      <c r="A455" s="26" t="s">
        <v>22</v>
      </c>
      <c r="B455" s="32" t="s">
        <v>88</v>
      </c>
      <c r="C455" s="32" t="s">
        <v>81</v>
      </c>
      <c r="D455" s="32" t="s">
        <v>225</v>
      </c>
      <c r="E455" s="32" t="s">
        <v>104</v>
      </c>
      <c r="F455" s="32" t="s">
        <v>130</v>
      </c>
      <c r="G455" s="74">
        <f>H455+I455+J455+K455</f>
        <v>134.9</v>
      </c>
      <c r="H455" s="74">
        <f>H457+H458+H459</f>
        <v>43.800000000000004</v>
      </c>
      <c r="I455" s="74">
        <f>I457+I458+I459</f>
        <v>30.2</v>
      </c>
      <c r="J455" s="74">
        <f>J457+J458+J459</f>
        <v>9.2</v>
      </c>
      <c r="K455" s="74">
        <f>K457+K458+K459</f>
        <v>51.7</v>
      </c>
      <c r="W455" s="74">
        <f>W457+W458+W459</f>
        <v>138.8</v>
      </c>
      <c r="X455" s="74">
        <f>X457+X458+X459</f>
        <v>142.8</v>
      </c>
    </row>
    <row r="456" spans="1:24" ht="12" customHeight="1">
      <c r="A456" s="26" t="s">
        <v>23</v>
      </c>
      <c r="B456" s="32" t="s">
        <v>88</v>
      </c>
      <c r="C456" s="32" t="s">
        <v>81</v>
      </c>
      <c r="D456" s="32" t="s">
        <v>225</v>
      </c>
      <c r="E456" s="32" t="s">
        <v>104</v>
      </c>
      <c r="F456" s="32"/>
      <c r="G456" s="74"/>
      <c r="H456" s="74"/>
      <c r="I456" s="74"/>
      <c r="J456" s="74"/>
      <c r="K456" s="74"/>
      <c r="W456" s="74"/>
      <c r="X456" s="74"/>
    </row>
    <row r="457" spans="1:24" ht="12.75" customHeight="1">
      <c r="A457" s="26" t="s">
        <v>24</v>
      </c>
      <c r="B457" s="32" t="s">
        <v>88</v>
      </c>
      <c r="C457" s="32" t="s">
        <v>81</v>
      </c>
      <c r="D457" s="32" t="s">
        <v>225</v>
      </c>
      <c r="E457" s="32" t="s">
        <v>104</v>
      </c>
      <c r="F457" s="32" t="s">
        <v>130</v>
      </c>
      <c r="G457" s="74">
        <f>H457+I457+J457+K457</f>
        <v>85.1</v>
      </c>
      <c r="H457" s="74">
        <v>28</v>
      </c>
      <c r="I457" s="74">
        <v>17</v>
      </c>
      <c r="J457" s="74"/>
      <c r="K457" s="74">
        <v>40.1</v>
      </c>
      <c r="W457" s="74">
        <v>88.5</v>
      </c>
      <c r="X457" s="74">
        <v>92</v>
      </c>
    </row>
    <row r="458" spans="1:24" ht="15.75" customHeight="1">
      <c r="A458" s="26" t="s">
        <v>25</v>
      </c>
      <c r="B458" s="32" t="s">
        <v>88</v>
      </c>
      <c r="C458" s="32" t="s">
        <v>81</v>
      </c>
      <c r="D458" s="32" t="s">
        <v>225</v>
      </c>
      <c r="E458" s="32" t="s">
        <v>104</v>
      </c>
      <c r="F458" s="32" t="s">
        <v>130</v>
      </c>
      <c r="G458" s="74">
        <f>H458+I458+J458+K458</f>
        <v>49</v>
      </c>
      <c r="H458" s="74">
        <v>15.6</v>
      </c>
      <c r="I458" s="74">
        <v>13</v>
      </c>
      <c r="J458" s="74">
        <v>9</v>
      </c>
      <c r="K458" s="74">
        <v>11.4</v>
      </c>
      <c r="N458" s="48"/>
      <c r="W458" s="74">
        <v>49.5</v>
      </c>
      <c r="X458" s="74">
        <v>49.9</v>
      </c>
    </row>
    <row r="459" spans="1:24" ht="12.75" customHeight="1">
      <c r="A459" s="26" t="s">
        <v>26</v>
      </c>
      <c r="B459" s="32" t="s">
        <v>88</v>
      </c>
      <c r="C459" s="32" t="s">
        <v>81</v>
      </c>
      <c r="D459" s="32" t="s">
        <v>225</v>
      </c>
      <c r="E459" s="32" t="s">
        <v>104</v>
      </c>
      <c r="F459" s="32" t="s">
        <v>130</v>
      </c>
      <c r="G459" s="74">
        <f>H459+I459+J459+K459</f>
        <v>0.8</v>
      </c>
      <c r="H459" s="74">
        <v>0.2</v>
      </c>
      <c r="I459" s="74">
        <v>0.2</v>
      </c>
      <c r="J459" s="74">
        <v>0.2</v>
      </c>
      <c r="K459" s="74">
        <v>0.2</v>
      </c>
      <c r="W459" s="74">
        <v>0.8</v>
      </c>
      <c r="X459" s="74">
        <v>0.9</v>
      </c>
    </row>
    <row r="460" spans="1:24" ht="13.5" customHeight="1">
      <c r="A460" s="26" t="s">
        <v>27</v>
      </c>
      <c r="B460" s="32" t="s">
        <v>88</v>
      </c>
      <c r="C460" s="32" t="s">
        <v>81</v>
      </c>
      <c r="D460" s="32" t="s">
        <v>225</v>
      </c>
      <c r="E460" s="32" t="s">
        <v>104</v>
      </c>
      <c r="F460" s="32" t="s">
        <v>105</v>
      </c>
      <c r="G460" s="74">
        <f>J460+K460+H460+I460</f>
        <v>122.6</v>
      </c>
      <c r="H460" s="74">
        <f>H462</f>
        <v>16</v>
      </c>
      <c r="I460" s="74">
        <f>I462</f>
        <v>26</v>
      </c>
      <c r="J460" s="74">
        <f>J462</f>
        <v>32</v>
      </c>
      <c r="K460" s="74">
        <f>K462</f>
        <v>48.6</v>
      </c>
      <c r="W460" s="74">
        <f>W462</f>
        <v>122.6</v>
      </c>
      <c r="X460" s="74">
        <f>X462</f>
        <v>122.6</v>
      </c>
    </row>
    <row r="461" spans="1:24" ht="12.75" customHeight="1">
      <c r="A461" s="26" t="s">
        <v>23</v>
      </c>
      <c r="B461" s="32" t="s">
        <v>88</v>
      </c>
      <c r="C461" s="32" t="s">
        <v>81</v>
      </c>
      <c r="D461" s="32" t="s">
        <v>225</v>
      </c>
      <c r="E461" s="32" t="s">
        <v>104</v>
      </c>
      <c r="F461" s="32" t="s">
        <v>105</v>
      </c>
      <c r="G461" s="74"/>
      <c r="H461" s="74"/>
      <c r="I461" s="74"/>
      <c r="J461" s="74"/>
      <c r="K461" s="74"/>
      <c r="W461" s="74"/>
      <c r="X461" s="74"/>
    </row>
    <row r="462" spans="1:24" ht="13.5" customHeight="1">
      <c r="A462" s="26" t="s">
        <v>28</v>
      </c>
      <c r="B462" s="32" t="s">
        <v>88</v>
      </c>
      <c r="C462" s="32" t="s">
        <v>81</v>
      </c>
      <c r="D462" s="32" t="s">
        <v>225</v>
      </c>
      <c r="E462" s="32" t="s">
        <v>104</v>
      </c>
      <c r="F462" s="32" t="s">
        <v>105</v>
      </c>
      <c r="G462" s="74">
        <f>J462+K462+H462+I462</f>
        <v>122.6</v>
      </c>
      <c r="H462" s="74">
        <v>16</v>
      </c>
      <c r="I462" s="74">
        <v>26</v>
      </c>
      <c r="J462" s="74">
        <v>32</v>
      </c>
      <c r="K462" s="74">
        <v>48.6</v>
      </c>
      <c r="W462" s="74">
        <v>122.6</v>
      </c>
      <c r="X462" s="74">
        <v>122.6</v>
      </c>
    </row>
    <row r="463" spans="1:24" ht="15.75" customHeight="1" hidden="1">
      <c r="A463" s="26" t="s">
        <v>73</v>
      </c>
      <c r="B463" s="32" t="s">
        <v>88</v>
      </c>
      <c r="C463" s="32" t="s">
        <v>81</v>
      </c>
      <c r="D463" s="32" t="s">
        <v>225</v>
      </c>
      <c r="E463" s="32" t="s">
        <v>104</v>
      </c>
      <c r="F463" s="32" t="s">
        <v>105</v>
      </c>
      <c r="G463" s="74"/>
      <c r="H463" s="74"/>
      <c r="I463" s="74"/>
      <c r="J463" s="74"/>
      <c r="K463" s="74"/>
      <c r="W463" s="74"/>
      <c r="X463" s="74"/>
    </row>
    <row r="464" spans="1:24" ht="12.75" customHeight="1" hidden="1">
      <c r="A464" s="26" t="s">
        <v>29</v>
      </c>
      <c r="B464" s="32" t="s">
        <v>88</v>
      </c>
      <c r="C464" s="32" t="s">
        <v>81</v>
      </c>
      <c r="D464" s="32" t="s">
        <v>225</v>
      </c>
      <c r="E464" s="32" t="s">
        <v>104</v>
      </c>
      <c r="F464" s="32" t="s">
        <v>105</v>
      </c>
      <c r="G464" s="74"/>
      <c r="H464" s="74"/>
      <c r="I464" s="74"/>
      <c r="J464" s="74"/>
      <c r="K464" s="74"/>
      <c r="W464" s="74"/>
      <c r="X464" s="74"/>
    </row>
    <row r="465" spans="1:24" ht="15.75" customHeight="1" hidden="1">
      <c r="A465" s="26" t="s">
        <v>74</v>
      </c>
      <c r="B465" s="32" t="s">
        <v>88</v>
      </c>
      <c r="C465" s="32" t="s">
        <v>81</v>
      </c>
      <c r="D465" s="32" t="s">
        <v>225</v>
      </c>
      <c r="E465" s="32" t="s">
        <v>104</v>
      </c>
      <c r="F465" s="32" t="s">
        <v>105</v>
      </c>
      <c r="G465" s="74"/>
      <c r="H465" s="74"/>
      <c r="I465" s="74"/>
      <c r="J465" s="74"/>
      <c r="K465" s="74"/>
      <c r="W465" s="74"/>
      <c r="X465" s="74"/>
    </row>
    <row r="466" spans="1:24" ht="14.25" customHeight="1" hidden="1">
      <c r="A466" s="26" t="s">
        <v>75</v>
      </c>
      <c r="B466" s="32" t="s">
        <v>88</v>
      </c>
      <c r="C466" s="32" t="s">
        <v>81</v>
      </c>
      <c r="D466" s="32" t="s">
        <v>225</v>
      </c>
      <c r="E466" s="32" t="s">
        <v>104</v>
      </c>
      <c r="F466" s="32" t="s">
        <v>105</v>
      </c>
      <c r="G466" s="74"/>
      <c r="H466" s="74"/>
      <c r="I466" s="74"/>
      <c r="J466" s="74"/>
      <c r="K466" s="74"/>
      <c r="W466" s="74"/>
      <c r="X466" s="74"/>
    </row>
    <row r="467" spans="1:24" ht="15.75" customHeight="1">
      <c r="A467" s="26" t="s">
        <v>30</v>
      </c>
      <c r="B467" s="32" t="s">
        <v>88</v>
      </c>
      <c r="C467" s="32" t="s">
        <v>81</v>
      </c>
      <c r="D467" s="32" t="s">
        <v>225</v>
      </c>
      <c r="E467" s="32" t="s">
        <v>104</v>
      </c>
      <c r="F467" s="32" t="s">
        <v>106</v>
      </c>
      <c r="G467" s="74">
        <f>J467+K467+I467+H467</f>
        <v>173.9</v>
      </c>
      <c r="H467" s="74">
        <v>35</v>
      </c>
      <c r="I467" s="74">
        <v>43</v>
      </c>
      <c r="J467" s="74">
        <v>43</v>
      </c>
      <c r="K467" s="74">
        <v>52.9</v>
      </c>
      <c r="W467" s="74">
        <v>173.9</v>
      </c>
      <c r="X467" s="74">
        <v>173.9</v>
      </c>
    </row>
    <row r="468" spans="1:24" ht="15.75" customHeight="1" hidden="1">
      <c r="A468" s="26" t="s">
        <v>32</v>
      </c>
      <c r="B468" s="32" t="s">
        <v>88</v>
      </c>
      <c r="C468" s="32" t="s">
        <v>81</v>
      </c>
      <c r="D468" s="32" t="s">
        <v>225</v>
      </c>
      <c r="E468" s="32" t="s">
        <v>104</v>
      </c>
      <c r="F468" s="32" t="s">
        <v>131</v>
      </c>
      <c r="G468" s="74"/>
      <c r="H468" s="74"/>
      <c r="I468" s="74"/>
      <c r="J468" s="74"/>
      <c r="K468" s="74"/>
      <c r="W468" s="74"/>
      <c r="X468" s="74"/>
    </row>
    <row r="469" spans="1:24" ht="15.75" customHeight="1">
      <c r="A469" s="26" t="s">
        <v>31</v>
      </c>
      <c r="B469" s="32" t="s">
        <v>88</v>
      </c>
      <c r="C469" s="32" t="s">
        <v>81</v>
      </c>
      <c r="D469" s="32" t="s">
        <v>225</v>
      </c>
      <c r="E469" s="32" t="s">
        <v>104</v>
      </c>
      <c r="F469" s="32" t="s">
        <v>132</v>
      </c>
      <c r="G469" s="74">
        <f>H469+I469+J469+K469</f>
        <v>30.5</v>
      </c>
      <c r="H469" s="74">
        <v>7</v>
      </c>
      <c r="I469" s="74">
        <v>7.5</v>
      </c>
      <c r="J469" s="74">
        <v>8</v>
      </c>
      <c r="K469" s="74">
        <v>8</v>
      </c>
      <c r="W469" s="74">
        <v>30.5</v>
      </c>
      <c r="X469" s="74">
        <v>30.5</v>
      </c>
    </row>
    <row r="470" spans="1:24" ht="16.5" customHeight="1">
      <c r="A470" s="25" t="s">
        <v>33</v>
      </c>
      <c r="B470" s="32" t="s">
        <v>88</v>
      </c>
      <c r="C470" s="32" t="s">
        <v>81</v>
      </c>
      <c r="D470" s="32" t="s">
        <v>225</v>
      </c>
      <c r="E470" s="32" t="s">
        <v>121</v>
      </c>
      <c r="F470" s="32" t="s">
        <v>133</v>
      </c>
      <c r="G470" s="74">
        <f>J470+K470+H470+I470</f>
        <v>56.2</v>
      </c>
      <c r="H470" s="74">
        <f>H471+H473+H472</f>
        <v>14</v>
      </c>
      <c r="I470" s="74">
        <f>I471+I473+I472</f>
        <v>14</v>
      </c>
      <c r="J470" s="74">
        <f>J471+J473+J472</f>
        <v>14</v>
      </c>
      <c r="K470" s="74">
        <f>K471+K473+K472</f>
        <v>14.2</v>
      </c>
      <c r="W470" s="74">
        <f>W471+W473+W472</f>
        <v>56.2</v>
      </c>
      <c r="X470" s="74">
        <f>X471+X473+X472</f>
        <v>56.2</v>
      </c>
    </row>
    <row r="471" spans="1:24" ht="13.5" customHeight="1" hidden="1">
      <c r="A471" s="25" t="s">
        <v>34</v>
      </c>
      <c r="B471" s="32" t="s">
        <v>88</v>
      </c>
      <c r="C471" s="32" t="s">
        <v>81</v>
      </c>
      <c r="D471" s="32" t="s">
        <v>225</v>
      </c>
      <c r="E471" s="32" t="s">
        <v>104</v>
      </c>
      <c r="F471" s="32" t="s">
        <v>134</v>
      </c>
      <c r="G471" s="74">
        <f>J471+K471+H471+I471</f>
        <v>0</v>
      </c>
      <c r="H471" s="74">
        <v>0</v>
      </c>
      <c r="I471" s="74">
        <f>97.36-97.36</f>
        <v>0</v>
      </c>
      <c r="J471" s="74">
        <f>97.36-97.36</f>
        <v>0</v>
      </c>
      <c r="K471" s="74">
        <v>0</v>
      </c>
      <c r="W471" s="74">
        <f>97.36-97.36</f>
        <v>0</v>
      </c>
      <c r="X471" s="74">
        <v>0</v>
      </c>
    </row>
    <row r="472" spans="1:24" ht="13.5" customHeight="1" hidden="1">
      <c r="A472" s="25" t="s">
        <v>34</v>
      </c>
      <c r="B472" s="32" t="s">
        <v>88</v>
      </c>
      <c r="C472" s="32" t="s">
        <v>81</v>
      </c>
      <c r="D472" s="32" t="s">
        <v>225</v>
      </c>
      <c r="E472" s="32" t="s">
        <v>122</v>
      </c>
      <c r="F472" s="32" t="s">
        <v>134</v>
      </c>
      <c r="G472" s="74">
        <f>J472+K472+H472+I472</f>
        <v>0</v>
      </c>
      <c r="H472" s="74">
        <v>0</v>
      </c>
      <c r="I472" s="74">
        <f>97.36-97.36</f>
        <v>0</v>
      </c>
      <c r="J472" s="74">
        <f>97.36-97.36</f>
        <v>0</v>
      </c>
      <c r="K472" s="74">
        <v>0</v>
      </c>
      <c r="W472" s="74">
        <f>97.36-97.36</f>
        <v>0</v>
      </c>
      <c r="X472" s="74">
        <v>0</v>
      </c>
    </row>
    <row r="473" spans="1:24" ht="15.75" customHeight="1">
      <c r="A473" s="25" t="s">
        <v>35</v>
      </c>
      <c r="B473" s="32" t="s">
        <v>88</v>
      </c>
      <c r="C473" s="32" t="s">
        <v>81</v>
      </c>
      <c r="D473" s="32" t="s">
        <v>225</v>
      </c>
      <c r="E473" s="32" t="s">
        <v>104</v>
      </c>
      <c r="F473" s="32" t="s">
        <v>135</v>
      </c>
      <c r="G473" s="74">
        <f>J473+K473+H473+I473</f>
        <v>56.2</v>
      </c>
      <c r="H473" s="74">
        <f>H477</f>
        <v>14</v>
      </c>
      <c r="I473" s="74">
        <f>I477</f>
        <v>14</v>
      </c>
      <c r="J473" s="74">
        <f>J477</f>
        <v>14</v>
      </c>
      <c r="K473" s="74">
        <f>K477</f>
        <v>14.2</v>
      </c>
      <c r="W473" s="74">
        <f>W477</f>
        <v>56.2</v>
      </c>
      <c r="X473" s="74">
        <f>X477</f>
        <v>56.2</v>
      </c>
    </row>
    <row r="474" spans="1:24" ht="12.75" customHeight="1">
      <c r="A474" s="25" t="s">
        <v>23</v>
      </c>
      <c r="B474" s="32" t="s">
        <v>88</v>
      </c>
      <c r="C474" s="32" t="s">
        <v>81</v>
      </c>
      <c r="D474" s="32" t="s">
        <v>225</v>
      </c>
      <c r="E474" s="32" t="s">
        <v>104</v>
      </c>
      <c r="F474" s="32"/>
      <c r="G474" s="74"/>
      <c r="H474" s="74"/>
      <c r="I474" s="74"/>
      <c r="J474" s="74"/>
      <c r="K474" s="74"/>
      <c r="W474" s="74"/>
      <c r="X474" s="74"/>
    </row>
    <row r="475" spans="1:24" ht="14.25" customHeight="1" hidden="1">
      <c r="A475" s="25" t="s">
        <v>36</v>
      </c>
      <c r="B475" s="32" t="s">
        <v>88</v>
      </c>
      <c r="C475" s="32" t="s">
        <v>81</v>
      </c>
      <c r="D475" s="32" t="s">
        <v>225</v>
      </c>
      <c r="E475" s="32" t="s">
        <v>104</v>
      </c>
      <c r="F475" s="32" t="s">
        <v>135</v>
      </c>
      <c r="G475" s="74"/>
      <c r="H475" s="74"/>
      <c r="I475" s="74"/>
      <c r="J475" s="74"/>
      <c r="K475" s="74"/>
      <c r="W475" s="74"/>
      <c r="X475" s="74"/>
    </row>
    <row r="476" spans="1:24" ht="15.75" customHeight="1" hidden="1">
      <c r="A476" s="25" t="s">
        <v>77</v>
      </c>
      <c r="B476" s="32" t="s">
        <v>88</v>
      </c>
      <c r="C476" s="32" t="s">
        <v>81</v>
      </c>
      <c r="D476" s="32" t="s">
        <v>225</v>
      </c>
      <c r="E476" s="32" t="s">
        <v>104</v>
      </c>
      <c r="F476" s="32" t="s">
        <v>135</v>
      </c>
      <c r="G476" s="74"/>
      <c r="H476" s="74"/>
      <c r="I476" s="74"/>
      <c r="J476" s="74"/>
      <c r="K476" s="74"/>
      <c r="W476" s="74"/>
      <c r="X476" s="74"/>
    </row>
    <row r="477" spans="1:24" ht="15.75" customHeight="1">
      <c r="A477" s="25" t="s">
        <v>37</v>
      </c>
      <c r="B477" s="32" t="s">
        <v>88</v>
      </c>
      <c r="C477" s="32" t="s">
        <v>81</v>
      </c>
      <c r="D477" s="32" t="s">
        <v>225</v>
      </c>
      <c r="E477" s="32" t="s">
        <v>104</v>
      </c>
      <c r="F477" s="32" t="s">
        <v>135</v>
      </c>
      <c r="G477" s="74">
        <f>J477+K477+H477+I477</f>
        <v>56.2</v>
      </c>
      <c r="H477" s="74">
        <v>14</v>
      </c>
      <c r="I477" s="74">
        <v>14</v>
      </c>
      <c r="J477" s="74">
        <v>14</v>
      </c>
      <c r="K477" s="74">
        <v>14.2</v>
      </c>
      <c r="W477" s="74">
        <v>56.2</v>
      </c>
      <c r="X477" s="74">
        <v>56.2</v>
      </c>
    </row>
    <row r="478" spans="1:24" ht="52.5" customHeight="1" hidden="1">
      <c r="A478" s="61" t="s">
        <v>420</v>
      </c>
      <c r="B478" s="32" t="s">
        <v>88</v>
      </c>
      <c r="C478" s="32" t="s">
        <v>81</v>
      </c>
      <c r="D478" s="32" t="s">
        <v>421</v>
      </c>
      <c r="E478" s="32" t="s">
        <v>149</v>
      </c>
      <c r="F478" s="32"/>
      <c r="G478" s="74">
        <f>H478+I478+J478+K478</f>
        <v>0</v>
      </c>
      <c r="H478" s="74">
        <f>H479</f>
        <v>0</v>
      </c>
      <c r="I478" s="74">
        <f>I479</f>
        <v>0</v>
      </c>
      <c r="J478" s="74">
        <f>J479</f>
        <v>0</v>
      </c>
      <c r="K478" s="74">
        <f>K479</f>
        <v>0</v>
      </c>
      <c r="W478" s="74">
        <f>W479</f>
        <v>0</v>
      </c>
      <c r="X478" s="74">
        <f>X479</f>
        <v>0</v>
      </c>
    </row>
    <row r="479" spans="1:24" ht="15.75" customHeight="1" hidden="1">
      <c r="A479" s="25" t="s">
        <v>34</v>
      </c>
      <c r="B479" s="32" t="s">
        <v>88</v>
      </c>
      <c r="C479" s="32" t="s">
        <v>81</v>
      </c>
      <c r="D479" s="32" t="s">
        <v>421</v>
      </c>
      <c r="E479" s="32" t="s">
        <v>122</v>
      </c>
      <c r="F479" s="32" t="s">
        <v>134</v>
      </c>
      <c r="G479" s="74">
        <f>H479+I479+J479+K479</f>
        <v>0</v>
      </c>
      <c r="H479" s="74">
        <v>0</v>
      </c>
      <c r="I479" s="74">
        <v>0</v>
      </c>
      <c r="J479" s="74">
        <v>0</v>
      </c>
      <c r="K479" s="74">
        <v>0</v>
      </c>
      <c r="W479" s="74">
        <v>0</v>
      </c>
      <c r="X479" s="74">
        <v>0</v>
      </c>
    </row>
    <row r="480" spans="1:24" ht="15.75" customHeight="1" hidden="1">
      <c r="A480" s="25"/>
      <c r="B480" s="32"/>
      <c r="C480" s="32"/>
      <c r="D480" s="32"/>
      <c r="E480" s="32"/>
      <c r="F480" s="32"/>
      <c r="G480" s="74"/>
      <c r="H480" s="74"/>
      <c r="I480" s="74"/>
      <c r="J480" s="74"/>
      <c r="K480" s="74"/>
      <c r="W480" s="74"/>
      <c r="X480" s="74"/>
    </row>
    <row r="481" spans="1:24" ht="15.75" customHeight="1" hidden="1">
      <c r="A481" s="25"/>
      <c r="B481" s="32"/>
      <c r="C481" s="32"/>
      <c r="D481" s="32"/>
      <c r="E481" s="32"/>
      <c r="F481" s="32"/>
      <c r="G481" s="74"/>
      <c r="H481" s="74"/>
      <c r="I481" s="74"/>
      <c r="J481" s="74"/>
      <c r="K481" s="74"/>
      <c r="W481" s="74"/>
      <c r="X481" s="74"/>
    </row>
    <row r="482" spans="1:24" ht="15.75" customHeight="1" hidden="1">
      <c r="A482" s="25"/>
      <c r="B482" s="32"/>
      <c r="C482" s="32"/>
      <c r="D482" s="32"/>
      <c r="E482" s="32"/>
      <c r="F482" s="32"/>
      <c r="G482" s="74"/>
      <c r="H482" s="74"/>
      <c r="I482" s="74"/>
      <c r="J482" s="74"/>
      <c r="K482" s="74"/>
      <c r="W482" s="74"/>
      <c r="X482" s="74"/>
    </row>
    <row r="483" spans="1:24" ht="15.75" customHeight="1" hidden="1">
      <c r="A483" s="25"/>
      <c r="B483" s="32"/>
      <c r="C483" s="32"/>
      <c r="D483" s="32"/>
      <c r="E483" s="32"/>
      <c r="F483" s="32"/>
      <c r="G483" s="74"/>
      <c r="H483" s="74"/>
      <c r="I483" s="74"/>
      <c r="J483" s="74"/>
      <c r="K483" s="74"/>
      <c r="W483" s="74"/>
      <c r="X483" s="74"/>
    </row>
    <row r="484" spans="1:24" ht="60" customHeight="1">
      <c r="A484" s="49" t="s">
        <v>360</v>
      </c>
      <c r="B484" s="50" t="s">
        <v>88</v>
      </c>
      <c r="C484" s="50" t="s">
        <v>81</v>
      </c>
      <c r="D484" s="50" t="s">
        <v>357</v>
      </c>
      <c r="E484" s="51" t="s">
        <v>149</v>
      </c>
      <c r="F484" s="31"/>
      <c r="G484" s="75">
        <f aca="true" t="shared" si="45" ref="G484:G491">H484+I484+J484+K484</f>
        <v>4480.299999999999</v>
      </c>
      <c r="H484" s="75">
        <f>H485</f>
        <v>1120</v>
      </c>
      <c r="I484" s="75">
        <f>I485</f>
        <v>1120.1</v>
      </c>
      <c r="J484" s="75">
        <f>J485</f>
        <v>1120.1</v>
      </c>
      <c r="K484" s="75">
        <f>K485</f>
        <v>1120.1</v>
      </c>
      <c r="W484" s="75">
        <f>W485</f>
        <v>4480.3</v>
      </c>
      <c r="X484" s="75">
        <f>X485</f>
        <v>4480.3</v>
      </c>
    </row>
    <row r="485" spans="1:24" ht="15.75" customHeight="1">
      <c r="A485" s="25" t="s">
        <v>15</v>
      </c>
      <c r="B485" s="32" t="s">
        <v>88</v>
      </c>
      <c r="C485" s="32" t="s">
        <v>81</v>
      </c>
      <c r="D485" s="52" t="s">
        <v>357</v>
      </c>
      <c r="E485" s="53">
        <v>610</v>
      </c>
      <c r="F485" s="32" t="s">
        <v>123</v>
      </c>
      <c r="G485" s="74">
        <f t="shared" si="45"/>
        <v>4480.299999999999</v>
      </c>
      <c r="H485" s="74">
        <f>H486+H487</f>
        <v>1120</v>
      </c>
      <c r="I485" s="74">
        <f>I486+I487</f>
        <v>1120.1</v>
      </c>
      <c r="J485" s="74">
        <f>J486+J487</f>
        <v>1120.1</v>
      </c>
      <c r="K485" s="74">
        <f>K486+K487</f>
        <v>1120.1</v>
      </c>
      <c r="W485" s="74">
        <f>W486+W487</f>
        <v>4480.3</v>
      </c>
      <c r="X485" s="74">
        <f>X486+X487</f>
        <v>4480.3</v>
      </c>
    </row>
    <row r="486" spans="1:24" ht="15.75" customHeight="1">
      <c r="A486" s="26" t="s">
        <v>16</v>
      </c>
      <c r="B486" s="32" t="s">
        <v>88</v>
      </c>
      <c r="C486" s="32" t="s">
        <v>81</v>
      </c>
      <c r="D486" s="52" t="s">
        <v>357</v>
      </c>
      <c r="E486" s="53">
        <v>611</v>
      </c>
      <c r="F486" s="32" t="s">
        <v>124</v>
      </c>
      <c r="G486" s="74">
        <f t="shared" si="45"/>
        <v>3441.1000000000004</v>
      </c>
      <c r="H486" s="74">
        <v>860.2</v>
      </c>
      <c r="I486" s="74">
        <v>860.3</v>
      </c>
      <c r="J486" s="74">
        <v>860.3</v>
      </c>
      <c r="K486" s="74">
        <v>860.3</v>
      </c>
      <c r="W486" s="74">
        <v>3441.1</v>
      </c>
      <c r="X486" s="74">
        <v>3441.1</v>
      </c>
    </row>
    <row r="487" spans="1:24" ht="15.75" customHeight="1">
      <c r="A487" s="26" t="s">
        <v>17</v>
      </c>
      <c r="B487" s="32" t="s">
        <v>88</v>
      </c>
      <c r="C487" s="32" t="s">
        <v>81</v>
      </c>
      <c r="D487" s="52" t="s">
        <v>357</v>
      </c>
      <c r="E487" s="53">
        <v>611</v>
      </c>
      <c r="F487" s="32" t="s">
        <v>126</v>
      </c>
      <c r="G487" s="74">
        <f t="shared" si="45"/>
        <v>1039.2</v>
      </c>
      <c r="H487" s="74">
        <v>259.8</v>
      </c>
      <c r="I487" s="74">
        <v>259.8</v>
      </c>
      <c r="J487" s="74">
        <v>259.8</v>
      </c>
      <c r="K487" s="74">
        <v>259.8</v>
      </c>
      <c r="W487" s="74">
        <v>1039.2</v>
      </c>
      <c r="X487" s="74">
        <v>1039.2</v>
      </c>
    </row>
    <row r="488" spans="1:24" ht="71.25" customHeight="1">
      <c r="A488" s="49" t="s">
        <v>361</v>
      </c>
      <c r="B488" s="50" t="s">
        <v>88</v>
      </c>
      <c r="C488" s="50" t="s">
        <v>81</v>
      </c>
      <c r="D488" s="50" t="s">
        <v>357</v>
      </c>
      <c r="E488" s="51" t="s">
        <v>149</v>
      </c>
      <c r="F488" s="31"/>
      <c r="G488" s="75">
        <f t="shared" si="45"/>
        <v>707.4</v>
      </c>
      <c r="H488" s="75">
        <f>H489</f>
        <v>176.8</v>
      </c>
      <c r="I488" s="75">
        <f>I489</f>
        <v>176.8</v>
      </c>
      <c r="J488" s="75">
        <f>J489</f>
        <v>176.9</v>
      </c>
      <c r="K488" s="75">
        <f>K489</f>
        <v>176.9</v>
      </c>
      <c r="W488" s="75">
        <f>W489</f>
        <v>707.4</v>
      </c>
      <c r="X488" s="75">
        <f>X489</f>
        <v>707.4</v>
      </c>
    </row>
    <row r="489" spans="1:24" ht="15.75" customHeight="1">
      <c r="A489" s="25" t="s">
        <v>15</v>
      </c>
      <c r="B489" s="32" t="s">
        <v>88</v>
      </c>
      <c r="C489" s="32" t="s">
        <v>81</v>
      </c>
      <c r="D489" s="52" t="s">
        <v>357</v>
      </c>
      <c r="E489" s="53">
        <v>610</v>
      </c>
      <c r="F489" s="32" t="s">
        <v>123</v>
      </c>
      <c r="G489" s="74">
        <f t="shared" si="45"/>
        <v>707.4</v>
      </c>
      <c r="H489" s="74">
        <f>H490+H491</f>
        <v>176.8</v>
      </c>
      <c r="I489" s="74">
        <f>I490+I491</f>
        <v>176.8</v>
      </c>
      <c r="J489" s="74">
        <f>J490+J491</f>
        <v>176.9</v>
      </c>
      <c r="K489" s="74">
        <f>K490+K491</f>
        <v>176.9</v>
      </c>
      <c r="W489" s="74">
        <f>W490+W491</f>
        <v>707.4</v>
      </c>
      <c r="X489" s="74">
        <f>X490+X491</f>
        <v>707.4</v>
      </c>
    </row>
    <row r="490" spans="1:24" ht="15.75" customHeight="1">
      <c r="A490" s="26" t="s">
        <v>16</v>
      </c>
      <c r="B490" s="32" t="s">
        <v>88</v>
      </c>
      <c r="C490" s="32" t="s">
        <v>81</v>
      </c>
      <c r="D490" s="52" t="s">
        <v>357</v>
      </c>
      <c r="E490" s="53">
        <v>611</v>
      </c>
      <c r="F490" s="32" t="s">
        <v>124</v>
      </c>
      <c r="G490" s="74">
        <f t="shared" si="45"/>
        <v>543.4</v>
      </c>
      <c r="H490" s="74">
        <v>135.8</v>
      </c>
      <c r="I490" s="74">
        <v>135.8</v>
      </c>
      <c r="J490" s="74">
        <v>135.9</v>
      </c>
      <c r="K490" s="74">
        <v>135.9</v>
      </c>
      <c r="W490" s="74">
        <v>543.4</v>
      </c>
      <c r="X490" s="74">
        <v>543.4</v>
      </c>
    </row>
    <row r="491" spans="1:24" ht="15.75" customHeight="1">
      <c r="A491" s="26" t="s">
        <v>17</v>
      </c>
      <c r="B491" s="32" t="s">
        <v>88</v>
      </c>
      <c r="C491" s="32" t="s">
        <v>81</v>
      </c>
      <c r="D491" s="52" t="s">
        <v>357</v>
      </c>
      <c r="E491" s="53">
        <v>611</v>
      </c>
      <c r="F491" s="32" t="s">
        <v>126</v>
      </c>
      <c r="G491" s="74">
        <f t="shared" si="45"/>
        <v>164</v>
      </c>
      <c r="H491" s="74">
        <v>41</v>
      </c>
      <c r="I491" s="74">
        <v>41</v>
      </c>
      <c r="J491" s="74">
        <v>41</v>
      </c>
      <c r="K491" s="74">
        <v>41</v>
      </c>
      <c r="W491" s="74">
        <v>164</v>
      </c>
      <c r="X491" s="74">
        <v>164</v>
      </c>
    </row>
    <row r="492" spans="1:24" ht="69.75" customHeight="1">
      <c r="A492" s="49" t="s">
        <v>362</v>
      </c>
      <c r="B492" s="50" t="s">
        <v>88</v>
      </c>
      <c r="C492" s="50" t="s">
        <v>81</v>
      </c>
      <c r="D492" s="50" t="s">
        <v>358</v>
      </c>
      <c r="E492" s="51" t="s">
        <v>149</v>
      </c>
      <c r="F492" s="31"/>
      <c r="G492" s="75">
        <f aca="true" t="shared" si="46" ref="G492:G502">H492+I492+J492+K492</f>
        <v>235.9</v>
      </c>
      <c r="H492" s="75">
        <f>H493</f>
        <v>59</v>
      </c>
      <c r="I492" s="75">
        <f>I493</f>
        <v>59</v>
      </c>
      <c r="J492" s="75">
        <f>J493</f>
        <v>59</v>
      </c>
      <c r="K492" s="75">
        <f>K493</f>
        <v>58.9</v>
      </c>
      <c r="W492" s="75">
        <f>W493</f>
        <v>235.89999999999998</v>
      </c>
      <c r="X492" s="75">
        <f>X493</f>
        <v>235.89999999999998</v>
      </c>
    </row>
    <row r="493" spans="1:24" ht="14.25" customHeight="1">
      <c r="A493" s="25" t="s">
        <v>15</v>
      </c>
      <c r="B493" s="32" t="s">
        <v>88</v>
      </c>
      <c r="C493" s="32" t="s">
        <v>81</v>
      </c>
      <c r="D493" s="52" t="s">
        <v>358</v>
      </c>
      <c r="E493" s="53">
        <v>610</v>
      </c>
      <c r="F493" s="32" t="s">
        <v>123</v>
      </c>
      <c r="G493" s="74">
        <f t="shared" si="46"/>
        <v>235.9</v>
      </c>
      <c r="H493" s="74">
        <f>H494+H495</f>
        <v>59</v>
      </c>
      <c r="I493" s="74">
        <f>I494+I495</f>
        <v>59</v>
      </c>
      <c r="J493" s="74">
        <f>J494+J495</f>
        <v>59</v>
      </c>
      <c r="K493" s="74">
        <f>K494+K495</f>
        <v>58.9</v>
      </c>
      <c r="W493" s="74">
        <f>W494+W495</f>
        <v>235.89999999999998</v>
      </c>
      <c r="X493" s="74">
        <f>X494+X495</f>
        <v>235.89999999999998</v>
      </c>
    </row>
    <row r="494" spans="1:24" ht="14.25" customHeight="1">
      <c r="A494" s="26" t="s">
        <v>16</v>
      </c>
      <c r="B494" s="32" t="s">
        <v>88</v>
      </c>
      <c r="C494" s="32" t="s">
        <v>81</v>
      </c>
      <c r="D494" s="52" t="s">
        <v>358</v>
      </c>
      <c r="E494" s="53">
        <v>611</v>
      </c>
      <c r="F494" s="32" t="s">
        <v>124</v>
      </c>
      <c r="G494" s="74">
        <f t="shared" si="46"/>
        <v>181.2</v>
      </c>
      <c r="H494" s="74">
        <v>45.3</v>
      </c>
      <c r="I494" s="74">
        <v>45.3</v>
      </c>
      <c r="J494" s="74">
        <v>45.3</v>
      </c>
      <c r="K494" s="74">
        <v>45.3</v>
      </c>
      <c r="W494" s="74">
        <v>181.2</v>
      </c>
      <c r="X494" s="74">
        <v>181.2</v>
      </c>
    </row>
    <row r="495" spans="1:24" ht="15.75" customHeight="1">
      <c r="A495" s="26" t="s">
        <v>17</v>
      </c>
      <c r="B495" s="32" t="s">
        <v>88</v>
      </c>
      <c r="C495" s="32" t="s">
        <v>81</v>
      </c>
      <c r="D495" s="52" t="s">
        <v>358</v>
      </c>
      <c r="E495" s="53">
        <v>611</v>
      </c>
      <c r="F495" s="32" t="s">
        <v>126</v>
      </c>
      <c r="G495" s="74">
        <f t="shared" si="46"/>
        <v>54.699999999999996</v>
      </c>
      <c r="H495" s="74">
        <v>13.7</v>
      </c>
      <c r="I495" s="74">
        <v>13.7</v>
      </c>
      <c r="J495" s="74">
        <v>13.7</v>
      </c>
      <c r="K495" s="74">
        <v>13.6</v>
      </c>
      <c r="W495" s="74">
        <v>54.7</v>
      </c>
      <c r="X495" s="74">
        <v>54.7</v>
      </c>
    </row>
    <row r="496" spans="1:24" ht="60" customHeight="1">
      <c r="A496" s="49" t="s">
        <v>363</v>
      </c>
      <c r="B496" s="50" t="s">
        <v>88</v>
      </c>
      <c r="C496" s="50" t="s">
        <v>81</v>
      </c>
      <c r="D496" s="50" t="s">
        <v>358</v>
      </c>
      <c r="E496" s="51" t="s">
        <v>149</v>
      </c>
      <c r="F496" s="31"/>
      <c r="G496" s="75">
        <f t="shared" si="46"/>
        <v>37.199999999999996</v>
      </c>
      <c r="H496" s="75">
        <f>H497</f>
        <v>9.2</v>
      </c>
      <c r="I496" s="75">
        <f>I497</f>
        <v>9.2</v>
      </c>
      <c r="J496" s="75">
        <f>J497</f>
        <v>9.4</v>
      </c>
      <c r="K496" s="75">
        <f>K497</f>
        <v>9.4</v>
      </c>
      <c r="W496" s="75">
        <f>W497</f>
        <v>37.2</v>
      </c>
      <c r="X496" s="75">
        <f>X497</f>
        <v>37.2</v>
      </c>
    </row>
    <row r="497" spans="1:24" ht="14.25" customHeight="1">
      <c r="A497" s="25" t="s">
        <v>15</v>
      </c>
      <c r="B497" s="32" t="s">
        <v>88</v>
      </c>
      <c r="C497" s="32" t="s">
        <v>81</v>
      </c>
      <c r="D497" s="52" t="s">
        <v>358</v>
      </c>
      <c r="E497" s="53">
        <v>610</v>
      </c>
      <c r="F497" s="32" t="s">
        <v>123</v>
      </c>
      <c r="G497" s="74">
        <f t="shared" si="46"/>
        <v>37.199999999999996</v>
      </c>
      <c r="H497" s="74">
        <f>H498+H499</f>
        <v>9.2</v>
      </c>
      <c r="I497" s="74">
        <f>I498+I499</f>
        <v>9.2</v>
      </c>
      <c r="J497" s="74">
        <f>J498+J499</f>
        <v>9.4</v>
      </c>
      <c r="K497" s="74">
        <f>K498+K499</f>
        <v>9.4</v>
      </c>
      <c r="W497" s="74">
        <f>W498+W499</f>
        <v>37.2</v>
      </c>
      <c r="X497" s="74">
        <f>X498+X499</f>
        <v>37.2</v>
      </c>
    </row>
    <row r="498" spans="1:24" ht="13.5" customHeight="1">
      <c r="A498" s="26" t="s">
        <v>16</v>
      </c>
      <c r="B498" s="32" t="s">
        <v>88</v>
      </c>
      <c r="C498" s="32" t="s">
        <v>81</v>
      </c>
      <c r="D498" s="52" t="s">
        <v>358</v>
      </c>
      <c r="E498" s="53">
        <v>611</v>
      </c>
      <c r="F498" s="32" t="s">
        <v>124</v>
      </c>
      <c r="G498" s="74">
        <f t="shared" si="46"/>
        <v>28.599999999999998</v>
      </c>
      <c r="H498" s="74">
        <v>7.1</v>
      </c>
      <c r="I498" s="74">
        <v>7.1</v>
      </c>
      <c r="J498" s="74">
        <v>7.2</v>
      </c>
      <c r="K498" s="74">
        <v>7.2</v>
      </c>
      <c r="W498" s="74">
        <v>28.6</v>
      </c>
      <c r="X498" s="74">
        <v>28.6</v>
      </c>
    </row>
    <row r="499" spans="1:24" ht="15.75" customHeight="1">
      <c r="A499" s="26" t="s">
        <v>17</v>
      </c>
      <c r="B499" s="32" t="s">
        <v>88</v>
      </c>
      <c r="C499" s="32" t="s">
        <v>81</v>
      </c>
      <c r="D499" s="52" t="s">
        <v>358</v>
      </c>
      <c r="E499" s="53">
        <v>611</v>
      </c>
      <c r="F499" s="32" t="s">
        <v>126</v>
      </c>
      <c r="G499" s="74">
        <f t="shared" si="46"/>
        <v>8.600000000000001</v>
      </c>
      <c r="H499" s="74">
        <v>2.1</v>
      </c>
      <c r="I499" s="74">
        <v>2.1</v>
      </c>
      <c r="J499" s="74">
        <v>2.2</v>
      </c>
      <c r="K499" s="74">
        <v>2.2</v>
      </c>
      <c r="W499" s="74">
        <v>8.6</v>
      </c>
      <c r="X499" s="74">
        <v>8.6</v>
      </c>
    </row>
    <row r="500" spans="1:24" ht="15.75" customHeight="1">
      <c r="A500" s="54" t="s">
        <v>226</v>
      </c>
      <c r="B500" s="39" t="s">
        <v>88</v>
      </c>
      <c r="C500" s="39" t="s">
        <v>227</v>
      </c>
      <c r="D500" s="31" t="s">
        <v>173</v>
      </c>
      <c r="E500" s="55" t="s">
        <v>66</v>
      </c>
      <c r="F500" s="39"/>
      <c r="G500" s="73">
        <f t="shared" si="46"/>
        <v>1591.0400000000002</v>
      </c>
      <c r="H500" s="73">
        <f>H501+H503</f>
        <v>217.5</v>
      </c>
      <c r="I500" s="73">
        <f>I501+I503</f>
        <v>95.8</v>
      </c>
      <c r="J500" s="73">
        <f>J501+J503</f>
        <v>1181.8400000000001</v>
      </c>
      <c r="K500" s="73">
        <f>K501+K503</f>
        <v>95.9</v>
      </c>
      <c r="W500" s="73">
        <f>W501+W503</f>
        <v>1381.99</v>
      </c>
      <c r="X500" s="73">
        <f>X501+X503</f>
        <v>1420.29</v>
      </c>
    </row>
    <row r="501" spans="1:24" ht="14.25" customHeight="1">
      <c r="A501" s="36" t="s">
        <v>92</v>
      </c>
      <c r="B501" s="39" t="s">
        <v>88</v>
      </c>
      <c r="C501" s="39" t="s">
        <v>93</v>
      </c>
      <c r="D501" s="39" t="s">
        <v>228</v>
      </c>
      <c r="E501" s="39" t="s">
        <v>55</v>
      </c>
      <c r="F501" s="39"/>
      <c r="G501" s="73">
        <f t="shared" si="46"/>
        <v>383.4</v>
      </c>
      <c r="H501" s="73">
        <f>H502</f>
        <v>95.8</v>
      </c>
      <c r="I501" s="73">
        <f>I502</f>
        <v>95.8</v>
      </c>
      <c r="J501" s="73">
        <f>J502</f>
        <v>95.9</v>
      </c>
      <c r="K501" s="73">
        <f>K502</f>
        <v>95.9</v>
      </c>
      <c r="W501" s="73">
        <f>W502</f>
        <v>383.4</v>
      </c>
      <c r="X501" s="73">
        <f>X502</f>
        <v>383.4</v>
      </c>
    </row>
    <row r="502" spans="1:24" ht="13.5" customHeight="1">
      <c r="A502" s="25" t="s">
        <v>94</v>
      </c>
      <c r="B502" s="32" t="s">
        <v>88</v>
      </c>
      <c r="C502" s="32" t="s">
        <v>93</v>
      </c>
      <c r="D502" s="32" t="s">
        <v>228</v>
      </c>
      <c r="E502" s="32" t="s">
        <v>136</v>
      </c>
      <c r="F502" s="32" t="s">
        <v>95</v>
      </c>
      <c r="G502" s="74">
        <f t="shared" si="46"/>
        <v>383.4</v>
      </c>
      <c r="H502" s="74">
        <v>95.8</v>
      </c>
      <c r="I502" s="74">
        <v>95.8</v>
      </c>
      <c r="J502" s="74">
        <v>95.9</v>
      </c>
      <c r="K502" s="74">
        <v>95.9</v>
      </c>
      <c r="W502" s="74">
        <v>383.4</v>
      </c>
      <c r="X502" s="74">
        <v>383.4</v>
      </c>
    </row>
    <row r="503" spans="1:24" ht="17.25" customHeight="1">
      <c r="A503" s="36" t="s">
        <v>231</v>
      </c>
      <c r="B503" s="39" t="s">
        <v>88</v>
      </c>
      <c r="C503" s="39" t="s">
        <v>82</v>
      </c>
      <c r="D503" s="31" t="s">
        <v>173</v>
      </c>
      <c r="E503" s="39" t="s">
        <v>66</v>
      </c>
      <c r="F503" s="40"/>
      <c r="G503" s="73">
        <f>H503+I503+J503+K503</f>
        <v>1207.64</v>
      </c>
      <c r="H503" s="73">
        <f>H504+H513+H519+H523</f>
        <v>121.7</v>
      </c>
      <c r="I503" s="73">
        <f>I504+I513+I519+I523</f>
        <v>0</v>
      </c>
      <c r="J503" s="73">
        <f>J504+J513+J519+J523</f>
        <v>1085.94</v>
      </c>
      <c r="K503" s="73">
        <f>K504+K513+K519+K523</f>
        <v>0</v>
      </c>
      <c r="W503" s="73">
        <f>W504+W513+W519+W523</f>
        <v>998.59</v>
      </c>
      <c r="X503" s="73">
        <f>X504+X513+X519+X523</f>
        <v>1036.8899999999999</v>
      </c>
    </row>
    <row r="504" spans="1:24" ht="55.5" customHeight="1" hidden="1">
      <c r="A504" s="68" t="s">
        <v>387</v>
      </c>
      <c r="B504" s="31" t="s">
        <v>88</v>
      </c>
      <c r="C504" s="31" t="s">
        <v>82</v>
      </c>
      <c r="D504" s="69" t="s">
        <v>422</v>
      </c>
      <c r="E504" s="31" t="s">
        <v>66</v>
      </c>
      <c r="F504" s="31"/>
      <c r="G504" s="75">
        <f aca="true" t="shared" si="47" ref="G504:G512">H504+I504+J504+K504</f>
        <v>0</v>
      </c>
      <c r="H504" s="75">
        <f>H505+H507+H509+H511</f>
        <v>0</v>
      </c>
      <c r="I504" s="75">
        <f>I505+I507+I509+I511</f>
        <v>0</v>
      </c>
      <c r="J504" s="75">
        <f>J505+J507+J509+J511</f>
        <v>0</v>
      </c>
      <c r="K504" s="75">
        <f>K505+K507+K509+K511</f>
        <v>0</v>
      </c>
      <c r="W504" s="75">
        <f>W505+W507+W509+W511</f>
        <v>0</v>
      </c>
      <c r="X504" s="75">
        <f>X505+X507+X509+X511</f>
        <v>0</v>
      </c>
    </row>
    <row r="505" spans="1:24" ht="60.75" customHeight="1" hidden="1">
      <c r="A505" s="61" t="s">
        <v>388</v>
      </c>
      <c r="B505" s="32" t="s">
        <v>88</v>
      </c>
      <c r="C505" s="32" t="s">
        <v>82</v>
      </c>
      <c r="D505" s="32" t="s">
        <v>415</v>
      </c>
      <c r="E505" s="34" t="s">
        <v>55</v>
      </c>
      <c r="F505" s="34"/>
      <c r="G505" s="71">
        <f t="shared" si="47"/>
        <v>0</v>
      </c>
      <c r="H505" s="71">
        <f>H506</f>
        <v>0</v>
      </c>
      <c r="I505" s="71">
        <f>I506</f>
        <v>0</v>
      </c>
      <c r="J505" s="71">
        <f>J506</f>
        <v>0</v>
      </c>
      <c r="K505" s="71">
        <f>K506</f>
        <v>0</v>
      </c>
      <c r="W505" s="71">
        <f>W506</f>
        <v>0</v>
      </c>
      <c r="X505" s="71">
        <f>X506</f>
        <v>0</v>
      </c>
    </row>
    <row r="506" spans="1:24" ht="17.25" customHeight="1" hidden="1">
      <c r="A506" s="43" t="s">
        <v>344</v>
      </c>
      <c r="B506" s="32" t="s">
        <v>88</v>
      </c>
      <c r="C506" s="32" t="s">
        <v>82</v>
      </c>
      <c r="D506" s="32" t="s">
        <v>415</v>
      </c>
      <c r="E506" s="32" t="s">
        <v>389</v>
      </c>
      <c r="F506" s="32" t="s">
        <v>54</v>
      </c>
      <c r="G506" s="74">
        <f t="shared" si="47"/>
        <v>0</v>
      </c>
      <c r="H506" s="74">
        <f>500-500</f>
        <v>0</v>
      </c>
      <c r="I506" s="74">
        <f>5031.18244-5031.18244</f>
        <v>0</v>
      </c>
      <c r="J506" s="74"/>
      <c r="K506" s="74">
        <v>0</v>
      </c>
      <c r="W506" s="74"/>
      <c r="X506" s="74">
        <v>0</v>
      </c>
    </row>
    <row r="507" spans="1:24" ht="64.5" customHeight="1" hidden="1">
      <c r="A507" s="61" t="s">
        <v>390</v>
      </c>
      <c r="B507" s="34" t="s">
        <v>88</v>
      </c>
      <c r="C507" s="34" t="s">
        <v>82</v>
      </c>
      <c r="D507" s="34" t="s">
        <v>391</v>
      </c>
      <c r="E507" s="34" t="s">
        <v>55</v>
      </c>
      <c r="F507" s="34"/>
      <c r="G507" s="71">
        <f t="shared" si="47"/>
        <v>0</v>
      </c>
      <c r="H507" s="71">
        <f>H508</f>
        <v>0</v>
      </c>
      <c r="I507" s="71">
        <f>I508</f>
        <v>0</v>
      </c>
      <c r="J507" s="71">
        <f>J508</f>
        <v>0</v>
      </c>
      <c r="K507" s="71">
        <f>K508</f>
        <v>0</v>
      </c>
      <c r="W507" s="71">
        <f>W508</f>
        <v>0</v>
      </c>
      <c r="X507" s="71">
        <f>X508</f>
        <v>0</v>
      </c>
    </row>
    <row r="508" spans="1:24" ht="17.25" customHeight="1" hidden="1">
      <c r="A508" s="25" t="s">
        <v>153</v>
      </c>
      <c r="B508" s="34" t="s">
        <v>88</v>
      </c>
      <c r="C508" s="34" t="s">
        <v>82</v>
      </c>
      <c r="D508" s="34" t="s">
        <v>391</v>
      </c>
      <c r="E508" s="34" t="s">
        <v>389</v>
      </c>
      <c r="F508" s="32" t="s">
        <v>54</v>
      </c>
      <c r="G508" s="74">
        <f t="shared" si="47"/>
        <v>0</v>
      </c>
      <c r="H508" s="74">
        <f>1500-1500</f>
        <v>0</v>
      </c>
      <c r="I508" s="74">
        <f>559.02027-559.02027</f>
        <v>0</v>
      </c>
      <c r="J508" s="74"/>
      <c r="K508" s="74"/>
      <c r="W508" s="74"/>
      <c r="X508" s="74"/>
    </row>
    <row r="509" spans="1:24" ht="57" customHeight="1" hidden="1">
      <c r="A509" s="61" t="s">
        <v>388</v>
      </c>
      <c r="B509" s="32" t="s">
        <v>88</v>
      </c>
      <c r="C509" s="32" t="s">
        <v>82</v>
      </c>
      <c r="D509" s="32" t="s">
        <v>415</v>
      </c>
      <c r="E509" s="34" t="s">
        <v>145</v>
      </c>
      <c r="F509" s="34"/>
      <c r="G509" s="71">
        <f t="shared" si="47"/>
        <v>0</v>
      </c>
      <c r="H509" s="71">
        <f>H510</f>
        <v>0</v>
      </c>
      <c r="I509" s="71">
        <f>I510</f>
        <v>0</v>
      </c>
      <c r="J509" s="71">
        <f>J510</f>
        <v>0</v>
      </c>
      <c r="K509" s="71">
        <f>K510</f>
        <v>0</v>
      </c>
      <c r="W509" s="71">
        <f>W510</f>
        <v>0</v>
      </c>
      <c r="X509" s="71">
        <f>X510</f>
        <v>0</v>
      </c>
    </row>
    <row r="510" spans="1:24" ht="17.25" customHeight="1" hidden="1">
      <c r="A510" s="43" t="s">
        <v>344</v>
      </c>
      <c r="B510" s="32" t="s">
        <v>88</v>
      </c>
      <c r="C510" s="32" t="s">
        <v>82</v>
      </c>
      <c r="D510" s="32" t="s">
        <v>415</v>
      </c>
      <c r="E510" s="32" t="s">
        <v>297</v>
      </c>
      <c r="F510" s="32" t="s">
        <v>53</v>
      </c>
      <c r="G510" s="74">
        <f t="shared" si="47"/>
        <v>0</v>
      </c>
      <c r="H510" s="74">
        <f>500-500</f>
        <v>0</v>
      </c>
      <c r="I510" s="74">
        <f>5031.18244-5031.18244</f>
        <v>0</v>
      </c>
      <c r="J510" s="74">
        <f>5031.18244-5031.18244</f>
        <v>0</v>
      </c>
      <c r="K510" s="74">
        <v>0</v>
      </c>
      <c r="W510" s="74">
        <f>5031.18244-5031.18244</f>
        <v>0</v>
      </c>
      <c r="X510" s="74">
        <v>0</v>
      </c>
    </row>
    <row r="511" spans="1:24" ht="69" customHeight="1" hidden="1">
      <c r="A511" s="61" t="s">
        <v>390</v>
      </c>
      <c r="B511" s="34" t="s">
        <v>88</v>
      </c>
      <c r="C511" s="34" t="s">
        <v>82</v>
      </c>
      <c r="D511" s="34" t="s">
        <v>391</v>
      </c>
      <c r="E511" s="34" t="s">
        <v>145</v>
      </c>
      <c r="F511" s="34"/>
      <c r="G511" s="71">
        <f t="shared" si="47"/>
        <v>0</v>
      </c>
      <c r="H511" s="71">
        <f>H512</f>
        <v>0</v>
      </c>
      <c r="I511" s="71">
        <f>I512</f>
        <v>0</v>
      </c>
      <c r="J511" s="71">
        <f>J512</f>
        <v>0</v>
      </c>
      <c r="K511" s="71">
        <f>K512</f>
        <v>0</v>
      </c>
      <c r="W511" s="71">
        <f>W512</f>
        <v>0</v>
      </c>
      <c r="X511" s="71">
        <f>X512</f>
        <v>0</v>
      </c>
    </row>
    <row r="512" spans="1:24" ht="17.25" customHeight="1" hidden="1">
      <c r="A512" s="25" t="s">
        <v>153</v>
      </c>
      <c r="B512" s="34" t="s">
        <v>88</v>
      </c>
      <c r="C512" s="34" t="s">
        <v>82</v>
      </c>
      <c r="D512" s="34" t="s">
        <v>391</v>
      </c>
      <c r="E512" s="34" t="s">
        <v>297</v>
      </c>
      <c r="F512" s="32" t="s">
        <v>53</v>
      </c>
      <c r="G512" s="74">
        <f t="shared" si="47"/>
        <v>0</v>
      </c>
      <c r="H512" s="74">
        <f>1500-1500</f>
        <v>0</v>
      </c>
      <c r="I512" s="74">
        <f>559.02027-559.02027</f>
        <v>0</v>
      </c>
      <c r="J512" s="74">
        <f>559.02027+188.3281-747.34837</f>
        <v>0</v>
      </c>
      <c r="K512" s="74">
        <v>0</v>
      </c>
      <c r="W512" s="74">
        <f>559.02027+188.3281-747.34837</f>
        <v>0</v>
      </c>
      <c r="X512" s="74">
        <v>0</v>
      </c>
    </row>
    <row r="513" spans="1:24" ht="51" customHeight="1">
      <c r="A513" s="41" t="s">
        <v>454</v>
      </c>
      <c r="B513" s="32" t="s">
        <v>88</v>
      </c>
      <c r="C513" s="32" t="s">
        <v>82</v>
      </c>
      <c r="D513" s="32" t="s">
        <v>345</v>
      </c>
      <c r="E513" s="40" t="s">
        <v>346</v>
      </c>
      <c r="F513" s="40"/>
      <c r="G513" s="75">
        <f>G514</f>
        <v>121.7</v>
      </c>
      <c r="H513" s="75">
        <f>H514</f>
        <v>121.7</v>
      </c>
      <c r="I513" s="75">
        <f>I514</f>
        <v>0</v>
      </c>
      <c r="J513" s="75">
        <f>J514</f>
        <v>0</v>
      </c>
      <c r="K513" s="75">
        <f>K514</f>
        <v>0</v>
      </c>
      <c r="W513" s="75">
        <f>W514</f>
        <v>84.64</v>
      </c>
      <c r="X513" s="75">
        <f>X514</f>
        <v>122.94</v>
      </c>
    </row>
    <row r="514" spans="1:24" ht="17.25" customHeight="1">
      <c r="A514" s="43" t="s">
        <v>344</v>
      </c>
      <c r="B514" s="32" t="s">
        <v>88</v>
      </c>
      <c r="C514" s="32" t="s">
        <v>82</v>
      </c>
      <c r="D514" s="32" t="s">
        <v>345</v>
      </c>
      <c r="E514" s="40" t="s">
        <v>136</v>
      </c>
      <c r="F514" s="40" t="s">
        <v>54</v>
      </c>
      <c r="G514" s="74">
        <f>H514+I514+J514+K514</f>
        <v>121.7</v>
      </c>
      <c r="H514" s="74">
        <v>121.7</v>
      </c>
      <c r="I514" s="74">
        <v>0</v>
      </c>
      <c r="J514" s="74">
        <v>0</v>
      </c>
      <c r="K514" s="74">
        <v>0</v>
      </c>
      <c r="R514" s="14" t="s">
        <v>448</v>
      </c>
      <c r="W514" s="74">
        <v>84.64</v>
      </c>
      <c r="X514" s="74">
        <v>122.94</v>
      </c>
    </row>
    <row r="515" spans="1:24" ht="45.75" customHeight="1" hidden="1">
      <c r="A515" s="41" t="s">
        <v>229</v>
      </c>
      <c r="B515" s="31" t="s">
        <v>88</v>
      </c>
      <c r="C515" s="31" t="s">
        <v>82</v>
      </c>
      <c r="D515" s="31" t="s">
        <v>230</v>
      </c>
      <c r="E515" s="31" t="s">
        <v>40</v>
      </c>
      <c r="F515" s="31"/>
      <c r="G515" s="75">
        <f>G516</f>
        <v>0</v>
      </c>
      <c r="H515" s="75">
        <f>H516</f>
        <v>0</v>
      </c>
      <c r="I515" s="75">
        <f>I516</f>
        <v>0</v>
      </c>
      <c r="J515" s="75">
        <f>J516</f>
        <v>0</v>
      </c>
      <c r="K515" s="75">
        <f>K516</f>
        <v>0</v>
      </c>
      <c r="W515" s="75">
        <f>W516</f>
        <v>0</v>
      </c>
      <c r="X515" s="75">
        <f>X516</f>
        <v>0</v>
      </c>
    </row>
    <row r="516" spans="1:24" ht="17.25" customHeight="1" hidden="1">
      <c r="A516" s="25" t="s">
        <v>150</v>
      </c>
      <c r="B516" s="32" t="s">
        <v>88</v>
      </c>
      <c r="C516" s="32" t="s">
        <v>82</v>
      </c>
      <c r="D516" s="32" t="s">
        <v>230</v>
      </c>
      <c r="E516" s="32" t="s">
        <v>151</v>
      </c>
      <c r="F516" s="32" t="s">
        <v>83</v>
      </c>
      <c r="G516" s="74">
        <f>H516+I516+J516+K516</f>
        <v>0</v>
      </c>
      <c r="H516" s="74">
        <v>0</v>
      </c>
      <c r="I516" s="74">
        <v>0</v>
      </c>
      <c r="J516" s="74">
        <v>0</v>
      </c>
      <c r="K516" s="74">
        <v>0</v>
      </c>
      <c r="W516" s="74">
        <v>0</v>
      </c>
      <c r="X516" s="74">
        <v>0</v>
      </c>
    </row>
    <row r="517" spans="1:24" ht="46.5" customHeight="1" hidden="1">
      <c r="A517" s="41" t="s">
        <v>229</v>
      </c>
      <c r="B517" s="31" t="s">
        <v>88</v>
      </c>
      <c r="C517" s="31" t="s">
        <v>82</v>
      </c>
      <c r="D517" s="31" t="s">
        <v>332</v>
      </c>
      <c r="E517" s="31" t="s">
        <v>40</v>
      </c>
      <c r="F517" s="31"/>
      <c r="G517" s="75">
        <f>G518</f>
        <v>0</v>
      </c>
      <c r="H517" s="75">
        <f>H518</f>
        <v>0</v>
      </c>
      <c r="I517" s="75">
        <f>I518</f>
        <v>0</v>
      </c>
      <c r="J517" s="75">
        <f>J518</f>
        <v>0</v>
      </c>
      <c r="K517" s="75">
        <f>K518</f>
        <v>0</v>
      </c>
      <c r="W517" s="75">
        <f>W518</f>
        <v>0</v>
      </c>
      <c r="X517" s="75">
        <f>X518</f>
        <v>0</v>
      </c>
    </row>
    <row r="518" spans="1:24" ht="14.25" customHeight="1" hidden="1">
      <c r="A518" s="25" t="s">
        <v>150</v>
      </c>
      <c r="B518" s="32" t="s">
        <v>88</v>
      </c>
      <c r="C518" s="32" t="s">
        <v>82</v>
      </c>
      <c r="D518" s="31" t="s">
        <v>332</v>
      </c>
      <c r="E518" s="32" t="s">
        <v>151</v>
      </c>
      <c r="F518" s="32" t="s">
        <v>83</v>
      </c>
      <c r="G518" s="74">
        <f>H518+I518+J518+K518</f>
        <v>0</v>
      </c>
      <c r="H518" s="74">
        <v>0</v>
      </c>
      <c r="I518" s="74">
        <v>0</v>
      </c>
      <c r="J518" s="74">
        <f>617.6-617.6</f>
        <v>0</v>
      </c>
      <c r="K518" s="74">
        <v>0</v>
      </c>
      <c r="W518" s="74">
        <f>617.6-617.6</f>
        <v>0</v>
      </c>
      <c r="X518" s="74">
        <v>0</v>
      </c>
    </row>
    <row r="519" spans="1:24" ht="78" customHeight="1">
      <c r="A519" s="41" t="s">
        <v>229</v>
      </c>
      <c r="B519" s="31" t="s">
        <v>88</v>
      </c>
      <c r="C519" s="31" t="s">
        <v>82</v>
      </c>
      <c r="D519" s="31" t="s">
        <v>386</v>
      </c>
      <c r="E519" s="31" t="s">
        <v>40</v>
      </c>
      <c r="F519" s="31"/>
      <c r="G519" s="75">
        <f>G520</f>
        <v>791.1</v>
      </c>
      <c r="H519" s="75">
        <f>H520</f>
        <v>0</v>
      </c>
      <c r="I519" s="75">
        <f>I520</f>
        <v>0</v>
      </c>
      <c r="J519" s="75">
        <f>J520</f>
        <v>791.1</v>
      </c>
      <c r="K519" s="75">
        <f>K520</f>
        <v>0</v>
      </c>
      <c r="W519" s="75">
        <f>W520</f>
        <v>791.1</v>
      </c>
      <c r="X519" s="75">
        <f>X520</f>
        <v>791.1</v>
      </c>
    </row>
    <row r="520" spans="1:24" ht="14.25" customHeight="1">
      <c r="A520" s="25" t="s">
        <v>150</v>
      </c>
      <c r="B520" s="32" t="s">
        <v>88</v>
      </c>
      <c r="C520" s="32" t="s">
        <v>82</v>
      </c>
      <c r="D520" s="31" t="s">
        <v>386</v>
      </c>
      <c r="E520" s="32" t="s">
        <v>151</v>
      </c>
      <c r="F520" s="32" t="s">
        <v>83</v>
      </c>
      <c r="G520" s="74">
        <f>H520+I520+J520+K520</f>
        <v>791.1</v>
      </c>
      <c r="H520" s="74">
        <v>0</v>
      </c>
      <c r="I520" s="74">
        <v>0</v>
      </c>
      <c r="J520" s="74">
        <v>791.1</v>
      </c>
      <c r="K520" s="74">
        <v>0</v>
      </c>
      <c r="R520" s="14" t="s">
        <v>449</v>
      </c>
      <c r="W520" s="74">
        <v>791.1</v>
      </c>
      <c r="X520" s="74">
        <v>791.1</v>
      </c>
    </row>
    <row r="521" spans="1:24" ht="47.25" customHeight="1" hidden="1">
      <c r="A521" s="41" t="s">
        <v>280</v>
      </c>
      <c r="B521" s="31" t="s">
        <v>88</v>
      </c>
      <c r="C521" s="31" t="s">
        <v>82</v>
      </c>
      <c r="D521" s="31" t="s">
        <v>281</v>
      </c>
      <c r="E521" s="31" t="s">
        <v>40</v>
      </c>
      <c r="F521" s="31"/>
      <c r="G521" s="75">
        <f>G522</f>
        <v>0</v>
      </c>
      <c r="H521" s="75">
        <f>H522</f>
        <v>0</v>
      </c>
      <c r="I521" s="75">
        <f>I522</f>
        <v>0</v>
      </c>
      <c r="J521" s="75">
        <f>J522</f>
        <v>0</v>
      </c>
      <c r="K521" s="75">
        <f>K522</f>
        <v>0</v>
      </c>
      <c r="W521" s="75">
        <f>W522</f>
        <v>0</v>
      </c>
      <c r="X521" s="75">
        <f>X522</f>
        <v>0</v>
      </c>
    </row>
    <row r="522" spans="1:24" ht="14.25" customHeight="1" hidden="1">
      <c r="A522" s="25" t="s">
        <v>150</v>
      </c>
      <c r="B522" s="32" t="s">
        <v>88</v>
      </c>
      <c r="C522" s="32" t="s">
        <v>82</v>
      </c>
      <c r="D522" s="32" t="s">
        <v>281</v>
      </c>
      <c r="E522" s="32" t="s">
        <v>151</v>
      </c>
      <c r="F522" s="32" t="s">
        <v>83</v>
      </c>
      <c r="G522" s="74">
        <f>H522+I522+J522+K522</f>
        <v>0</v>
      </c>
      <c r="H522" s="74">
        <v>0</v>
      </c>
      <c r="I522" s="74">
        <v>0</v>
      </c>
      <c r="J522" s="74">
        <v>0</v>
      </c>
      <c r="K522" s="74">
        <v>0</v>
      </c>
      <c r="W522" s="74">
        <v>0</v>
      </c>
      <c r="X522" s="74">
        <v>0</v>
      </c>
    </row>
    <row r="523" spans="1:24" ht="71.25" customHeight="1">
      <c r="A523" s="41" t="s">
        <v>280</v>
      </c>
      <c r="B523" s="31" t="s">
        <v>88</v>
      </c>
      <c r="C523" s="31" t="s">
        <v>82</v>
      </c>
      <c r="D523" s="31" t="s">
        <v>333</v>
      </c>
      <c r="E523" s="31" t="s">
        <v>40</v>
      </c>
      <c r="F523" s="31"/>
      <c r="G523" s="75">
        <f>G524</f>
        <v>294.84</v>
      </c>
      <c r="H523" s="75">
        <f>H524</f>
        <v>0</v>
      </c>
      <c r="I523" s="75">
        <f>I524</f>
        <v>0</v>
      </c>
      <c r="J523" s="75">
        <f>J524</f>
        <v>294.84</v>
      </c>
      <c r="K523" s="75">
        <f>K524</f>
        <v>0</v>
      </c>
      <c r="R523" s="14" t="s">
        <v>449</v>
      </c>
      <c r="W523" s="75">
        <f>W524</f>
        <v>122.85</v>
      </c>
      <c r="X523" s="75">
        <f>X524</f>
        <v>122.85</v>
      </c>
    </row>
    <row r="524" spans="1:24" ht="14.25" customHeight="1">
      <c r="A524" s="25" t="s">
        <v>150</v>
      </c>
      <c r="B524" s="32" t="s">
        <v>88</v>
      </c>
      <c r="C524" s="32" t="s">
        <v>82</v>
      </c>
      <c r="D524" s="32" t="s">
        <v>333</v>
      </c>
      <c r="E524" s="32" t="s">
        <v>151</v>
      </c>
      <c r="F524" s="32" t="s">
        <v>83</v>
      </c>
      <c r="G524" s="74">
        <f>H524+I524+J524+K524</f>
        <v>294.84</v>
      </c>
      <c r="H524" s="74">
        <v>0</v>
      </c>
      <c r="I524" s="74">
        <v>0</v>
      </c>
      <c r="J524" s="74">
        <v>294.84</v>
      </c>
      <c r="K524" s="74">
        <v>0</v>
      </c>
      <c r="W524" s="74">
        <v>122.85</v>
      </c>
      <c r="X524" s="74">
        <v>122.85</v>
      </c>
    </row>
    <row r="525" spans="1:24" ht="32.25" customHeight="1" hidden="1">
      <c r="A525" s="56" t="s">
        <v>232</v>
      </c>
      <c r="B525" s="39" t="s">
        <v>88</v>
      </c>
      <c r="C525" s="39" t="s">
        <v>233</v>
      </c>
      <c r="D525" s="31" t="s">
        <v>173</v>
      </c>
      <c r="E525" s="39" t="s">
        <v>66</v>
      </c>
      <c r="F525" s="39"/>
      <c r="G525" s="73">
        <f>H525+I525+J525+K525</f>
        <v>0</v>
      </c>
      <c r="H525" s="73">
        <f>H526+H531</f>
        <v>0</v>
      </c>
      <c r="I525" s="73">
        <f>I526+I531</f>
        <v>0</v>
      </c>
      <c r="J525" s="73">
        <f>J526+J531</f>
        <v>0</v>
      </c>
      <c r="K525" s="73">
        <f>K526+K531</f>
        <v>0</v>
      </c>
      <c r="W525" s="73">
        <f>W526+W531</f>
        <v>0</v>
      </c>
      <c r="X525" s="73">
        <f>X526+X531</f>
        <v>0</v>
      </c>
    </row>
    <row r="526" spans="1:24" ht="24" customHeight="1" hidden="1">
      <c r="A526" s="30" t="s">
        <v>290</v>
      </c>
      <c r="B526" s="31" t="s">
        <v>88</v>
      </c>
      <c r="C526" s="31" t="s">
        <v>233</v>
      </c>
      <c r="D526" s="31" t="s">
        <v>234</v>
      </c>
      <c r="E526" s="31" t="s">
        <v>142</v>
      </c>
      <c r="F526" s="31"/>
      <c r="G526" s="75">
        <f aca="true" t="shared" si="48" ref="G526:G539">H526+I526+J526+K526</f>
        <v>0</v>
      </c>
      <c r="H526" s="75">
        <f>H528+H530</f>
        <v>0</v>
      </c>
      <c r="I526" s="75">
        <f>I528+I530</f>
        <v>0</v>
      </c>
      <c r="J526" s="75">
        <f>J528+J530</f>
        <v>0</v>
      </c>
      <c r="K526" s="75">
        <f>K528+K530</f>
        <v>0</v>
      </c>
      <c r="W526" s="75">
        <f>W528+W530</f>
        <v>0</v>
      </c>
      <c r="X526" s="75">
        <f>X528+X530</f>
        <v>0</v>
      </c>
    </row>
    <row r="527" spans="1:24" ht="15" customHeight="1" hidden="1">
      <c r="A527" s="35" t="s">
        <v>235</v>
      </c>
      <c r="B527" s="34" t="s">
        <v>88</v>
      </c>
      <c r="C527" s="34" t="s">
        <v>233</v>
      </c>
      <c r="D527" s="34" t="s">
        <v>237</v>
      </c>
      <c r="E527" s="34" t="s">
        <v>109</v>
      </c>
      <c r="F527" s="34" t="s">
        <v>53</v>
      </c>
      <c r="G527" s="71">
        <f>H527+I527+J527+K527</f>
        <v>0</v>
      </c>
      <c r="H527" s="71">
        <f>H528</f>
        <v>0</v>
      </c>
      <c r="I527" s="71">
        <f>I528</f>
        <v>0</v>
      </c>
      <c r="J527" s="71">
        <f>J528</f>
        <v>0</v>
      </c>
      <c r="K527" s="71">
        <f>K528</f>
        <v>0</v>
      </c>
      <c r="W527" s="71">
        <f>W528</f>
        <v>0</v>
      </c>
      <c r="X527" s="71">
        <f>X528</f>
        <v>0</v>
      </c>
    </row>
    <row r="528" spans="1:24" ht="15" customHeight="1" hidden="1">
      <c r="A528" s="25" t="s">
        <v>31</v>
      </c>
      <c r="B528" s="32" t="s">
        <v>88</v>
      </c>
      <c r="C528" s="32" t="s">
        <v>233</v>
      </c>
      <c r="D528" s="32" t="s">
        <v>237</v>
      </c>
      <c r="E528" s="32" t="s">
        <v>109</v>
      </c>
      <c r="F528" s="32" t="s">
        <v>53</v>
      </c>
      <c r="G528" s="74">
        <f t="shared" si="48"/>
        <v>0</v>
      </c>
      <c r="H528" s="74">
        <v>0</v>
      </c>
      <c r="I528" s="74">
        <v>0</v>
      </c>
      <c r="J528" s="74">
        <v>0</v>
      </c>
      <c r="K528" s="74">
        <v>0</v>
      </c>
      <c r="W528" s="74">
        <v>0</v>
      </c>
      <c r="X528" s="74">
        <v>0</v>
      </c>
    </row>
    <row r="529" spans="1:24" ht="37.5" customHeight="1" hidden="1">
      <c r="A529" s="35" t="s">
        <v>282</v>
      </c>
      <c r="B529" s="34" t="s">
        <v>88</v>
      </c>
      <c r="C529" s="34" t="s">
        <v>233</v>
      </c>
      <c r="D529" s="34" t="s">
        <v>283</v>
      </c>
      <c r="E529" s="34" t="s">
        <v>109</v>
      </c>
      <c r="F529" s="34"/>
      <c r="G529" s="71">
        <f>H529+I529+J529+K529</f>
        <v>0</v>
      </c>
      <c r="H529" s="71">
        <f>H530</f>
        <v>0</v>
      </c>
      <c r="I529" s="71">
        <f>I530</f>
        <v>0</v>
      </c>
      <c r="J529" s="71">
        <f>J530</f>
        <v>0</v>
      </c>
      <c r="K529" s="71">
        <f>K530</f>
        <v>0</v>
      </c>
      <c r="W529" s="71">
        <f>W530</f>
        <v>0</v>
      </c>
      <c r="X529" s="71">
        <f>X530</f>
        <v>0</v>
      </c>
    </row>
    <row r="530" spans="1:24" ht="15" customHeight="1" hidden="1">
      <c r="A530" s="25" t="s">
        <v>30</v>
      </c>
      <c r="B530" s="32" t="s">
        <v>88</v>
      </c>
      <c r="C530" s="32" t="s">
        <v>233</v>
      </c>
      <c r="D530" s="32" t="s">
        <v>283</v>
      </c>
      <c r="E530" s="32" t="s">
        <v>109</v>
      </c>
      <c r="F530" s="32" t="s">
        <v>52</v>
      </c>
      <c r="G530" s="74">
        <f>H530+I530+J530+K530</f>
        <v>0</v>
      </c>
      <c r="H530" s="74">
        <v>0</v>
      </c>
      <c r="I530" s="74">
        <v>0</v>
      </c>
      <c r="J530" s="74">
        <v>0</v>
      </c>
      <c r="K530" s="74">
        <v>0</v>
      </c>
      <c r="W530" s="74">
        <v>0</v>
      </c>
      <c r="X530" s="74">
        <v>0</v>
      </c>
    </row>
    <row r="531" spans="1:24" ht="26.25" customHeight="1" hidden="1">
      <c r="A531" s="30" t="s">
        <v>291</v>
      </c>
      <c r="B531" s="31" t="s">
        <v>88</v>
      </c>
      <c r="C531" s="31" t="s">
        <v>233</v>
      </c>
      <c r="D531" s="31" t="s">
        <v>236</v>
      </c>
      <c r="E531" s="31" t="s">
        <v>142</v>
      </c>
      <c r="F531" s="31"/>
      <c r="G531" s="75">
        <f t="shared" si="48"/>
        <v>0</v>
      </c>
      <c r="H531" s="75">
        <f>H532</f>
        <v>0</v>
      </c>
      <c r="I531" s="75">
        <f>I532</f>
        <v>0</v>
      </c>
      <c r="J531" s="75">
        <f>J532</f>
        <v>0</v>
      </c>
      <c r="K531" s="75">
        <f>K532</f>
        <v>0</v>
      </c>
      <c r="W531" s="75">
        <f>W532</f>
        <v>0</v>
      </c>
      <c r="X531" s="75">
        <f>X532</f>
        <v>0</v>
      </c>
    </row>
    <row r="532" spans="1:24" ht="23.25" customHeight="1" hidden="1">
      <c r="A532" s="35" t="s">
        <v>238</v>
      </c>
      <c r="B532" s="34" t="s">
        <v>88</v>
      </c>
      <c r="C532" s="34" t="s">
        <v>233</v>
      </c>
      <c r="D532" s="34" t="s">
        <v>239</v>
      </c>
      <c r="E532" s="34" t="s">
        <v>110</v>
      </c>
      <c r="F532" s="57"/>
      <c r="G532" s="78">
        <f>H532+I532+J532+K532</f>
        <v>0</v>
      </c>
      <c r="H532" s="78">
        <f>H533+H534</f>
        <v>0</v>
      </c>
      <c r="I532" s="78">
        <f>I533+I534</f>
        <v>0</v>
      </c>
      <c r="J532" s="78">
        <f>J533+J534</f>
        <v>0</v>
      </c>
      <c r="K532" s="78">
        <f>K533+K534</f>
        <v>0</v>
      </c>
      <c r="W532" s="78">
        <f>W533+W534</f>
        <v>0</v>
      </c>
      <c r="X532" s="78">
        <f>X533+X534</f>
        <v>0</v>
      </c>
    </row>
    <row r="533" spans="1:24" ht="12" customHeight="1" hidden="1">
      <c r="A533" s="25" t="s">
        <v>31</v>
      </c>
      <c r="B533" s="32" t="s">
        <v>88</v>
      </c>
      <c r="C533" s="32" t="s">
        <v>233</v>
      </c>
      <c r="D533" s="32" t="s">
        <v>239</v>
      </c>
      <c r="E533" s="32" t="s">
        <v>109</v>
      </c>
      <c r="F533" s="32" t="s">
        <v>53</v>
      </c>
      <c r="G533" s="74">
        <f t="shared" si="48"/>
        <v>0</v>
      </c>
      <c r="H533" s="74">
        <v>0</v>
      </c>
      <c r="I533" s="74">
        <v>0</v>
      </c>
      <c r="J533" s="74">
        <v>0</v>
      </c>
      <c r="K533" s="74">
        <v>0</v>
      </c>
      <c r="W533" s="74">
        <v>0</v>
      </c>
      <c r="X533" s="74">
        <v>0</v>
      </c>
    </row>
    <row r="534" spans="1:24" ht="12" customHeight="1" hidden="1">
      <c r="A534" s="25" t="s">
        <v>34</v>
      </c>
      <c r="B534" s="32" t="s">
        <v>88</v>
      </c>
      <c r="C534" s="32" t="s">
        <v>233</v>
      </c>
      <c r="D534" s="32" t="s">
        <v>239</v>
      </c>
      <c r="E534" s="32" t="s">
        <v>109</v>
      </c>
      <c r="F534" s="32" t="s">
        <v>56</v>
      </c>
      <c r="G534" s="74">
        <f>H534+I534+J534+K534</f>
        <v>0</v>
      </c>
      <c r="H534" s="74">
        <v>0</v>
      </c>
      <c r="I534" s="74">
        <v>0</v>
      </c>
      <c r="J534" s="74">
        <v>0</v>
      </c>
      <c r="K534" s="74">
        <v>0</v>
      </c>
      <c r="W534" s="74">
        <v>0</v>
      </c>
      <c r="X534" s="74">
        <v>0</v>
      </c>
    </row>
    <row r="535" spans="1:24" ht="17.25" customHeight="1">
      <c r="A535" s="54" t="s">
        <v>241</v>
      </c>
      <c r="B535" s="31" t="s">
        <v>88</v>
      </c>
      <c r="C535" s="31" t="s">
        <v>242</v>
      </c>
      <c r="D535" s="31" t="s">
        <v>173</v>
      </c>
      <c r="E535" s="39" t="s">
        <v>66</v>
      </c>
      <c r="F535" s="39"/>
      <c r="G535" s="73">
        <f>H535+I535+J535+K535</f>
        <v>12865.68</v>
      </c>
      <c r="H535" s="73">
        <f>H536+H570</f>
        <v>1151.3</v>
      </c>
      <c r="I535" s="73">
        <f>I536+I570</f>
        <v>4618.4</v>
      </c>
      <c r="J535" s="73">
        <f>J536+J570</f>
        <v>1613.7</v>
      </c>
      <c r="K535" s="73">
        <f>K536+K570</f>
        <v>5482.280000000001</v>
      </c>
      <c r="W535" s="73">
        <f>W536+W570</f>
        <v>5902.28</v>
      </c>
      <c r="X535" s="73">
        <f>X536+X570</f>
        <v>5911.88</v>
      </c>
    </row>
    <row r="536" spans="1:24" ht="37.5" customHeight="1">
      <c r="A536" s="30" t="s">
        <v>472</v>
      </c>
      <c r="B536" s="31" t="s">
        <v>88</v>
      </c>
      <c r="C536" s="31" t="s">
        <v>101</v>
      </c>
      <c r="D536" s="31" t="s">
        <v>240</v>
      </c>
      <c r="E536" s="31" t="s">
        <v>149</v>
      </c>
      <c r="F536" s="31"/>
      <c r="G536" s="75">
        <f t="shared" si="48"/>
        <v>5728.68</v>
      </c>
      <c r="H536" s="75">
        <f>H537+H559+H565+H561+H568</f>
        <v>1119.3</v>
      </c>
      <c r="I536" s="75">
        <f>I537+I559+I565+I561+I568</f>
        <v>1110.7</v>
      </c>
      <c r="J536" s="75">
        <f>J537+J559+J565+J561+J568</f>
        <v>1578.7</v>
      </c>
      <c r="K536" s="75">
        <f>K537+K559+K565+K561+K568</f>
        <v>1919.98</v>
      </c>
      <c r="W536" s="75">
        <f>W537+W559+W565+W561+W568</f>
        <v>5765.28</v>
      </c>
      <c r="X536" s="75">
        <f>X537+X559+X565+X561+X568</f>
        <v>5774.88</v>
      </c>
    </row>
    <row r="537" spans="1:24" ht="69" customHeight="1">
      <c r="A537" s="35" t="s">
        <v>245</v>
      </c>
      <c r="B537" s="34" t="s">
        <v>88</v>
      </c>
      <c r="C537" s="34" t="s">
        <v>101</v>
      </c>
      <c r="D537" s="34" t="s">
        <v>246</v>
      </c>
      <c r="E537" s="34" t="s">
        <v>121</v>
      </c>
      <c r="F537" s="34" t="s">
        <v>71</v>
      </c>
      <c r="G537" s="71">
        <f t="shared" si="48"/>
        <v>5655.98</v>
      </c>
      <c r="H537" s="71">
        <f>H538+H542+H555+H557+H556+H558</f>
        <v>1106.6</v>
      </c>
      <c r="I537" s="71">
        <f>I538+I542+I555+I557+I556+I558</f>
        <v>1090.7</v>
      </c>
      <c r="J537" s="71">
        <f>J538+J542+J555+J557+J556+J558</f>
        <v>1558.7</v>
      </c>
      <c r="K537" s="71">
        <f>K538+K542+K555+K557+K556+K558</f>
        <v>1899.98</v>
      </c>
      <c r="W537" s="71">
        <f>W538+W542+W555+W557+W556+W558</f>
        <v>5665.28</v>
      </c>
      <c r="X537" s="71">
        <f>X538+X542+X555+X557+X556+X558</f>
        <v>5674.88</v>
      </c>
    </row>
    <row r="538" spans="1:24" ht="14.25" customHeight="1">
      <c r="A538" s="25" t="s">
        <v>15</v>
      </c>
      <c r="B538" s="32" t="s">
        <v>88</v>
      </c>
      <c r="C538" s="32" t="s">
        <v>101</v>
      </c>
      <c r="D538" s="32" t="s">
        <v>246</v>
      </c>
      <c r="E538" s="32" t="s">
        <v>104</v>
      </c>
      <c r="F538" s="32" t="s">
        <v>123</v>
      </c>
      <c r="G538" s="74">
        <f t="shared" si="48"/>
        <v>3191.58</v>
      </c>
      <c r="H538" s="71">
        <f>H539+H541</f>
        <v>638.3</v>
      </c>
      <c r="I538" s="71">
        <f>I539+I541</f>
        <v>797.9</v>
      </c>
      <c r="J538" s="71">
        <f>J539+J541</f>
        <v>797.9</v>
      </c>
      <c r="K538" s="71">
        <f>K539+K541</f>
        <v>957.48</v>
      </c>
      <c r="W538" s="71">
        <f>W539+W541</f>
        <v>3191.58</v>
      </c>
      <c r="X538" s="71">
        <f>X539+X541</f>
        <v>3191.58</v>
      </c>
    </row>
    <row r="539" spans="1:24" ht="15" customHeight="1">
      <c r="A539" s="26" t="s">
        <v>16</v>
      </c>
      <c r="B539" s="32" t="s">
        <v>88</v>
      </c>
      <c r="C539" s="32" t="s">
        <v>101</v>
      </c>
      <c r="D539" s="32" t="s">
        <v>246</v>
      </c>
      <c r="E539" s="32" t="s">
        <v>104</v>
      </c>
      <c r="F539" s="32" t="s">
        <v>124</v>
      </c>
      <c r="G539" s="74">
        <f t="shared" si="48"/>
        <v>2451.2799999999997</v>
      </c>
      <c r="H539" s="74">
        <v>490.3</v>
      </c>
      <c r="I539" s="74">
        <v>612.8</v>
      </c>
      <c r="J539" s="74">
        <v>612.8</v>
      </c>
      <c r="K539" s="74">
        <v>735.38</v>
      </c>
      <c r="W539" s="74">
        <v>2451.28</v>
      </c>
      <c r="X539" s="74">
        <v>2451.28</v>
      </c>
    </row>
    <row r="540" spans="1:24" ht="13.5" customHeight="1" hidden="1">
      <c r="A540" s="26" t="s">
        <v>17</v>
      </c>
      <c r="B540" s="32" t="s">
        <v>88</v>
      </c>
      <c r="C540" s="32" t="s">
        <v>101</v>
      </c>
      <c r="D540" s="32" t="s">
        <v>246</v>
      </c>
      <c r="E540" s="32" t="s">
        <v>104</v>
      </c>
      <c r="F540" s="32" t="s">
        <v>125</v>
      </c>
      <c r="G540" s="74"/>
      <c r="H540" s="74"/>
      <c r="I540" s="74"/>
      <c r="J540" s="74"/>
      <c r="K540" s="74"/>
      <c r="W540" s="74"/>
      <c r="X540" s="74"/>
    </row>
    <row r="541" spans="1:24" ht="13.5" customHeight="1">
      <c r="A541" s="26" t="s">
        <v>18</v>
      </c>
      <c r="B541" s="32" t="s">
        <v>88</v>
      </c>
      <c r="C541" s="32" t="s">
        <v>101</v>
      </c>
      <c r="D541" s="32" t="s">
        <v>246</v>
      </c>
      <c r="E541" s="32" t="s">
        <v>104</v>
      </c>
      <c r="F541" s="32" t="s">
        <v>126</v>
      </c>
      <c r="G541" s="74">
        <f>H541+I541+J541+K541</f>
        <v>740.3000000000001</v>
      </c>
      <c r="H541" s="74">
        <v>148</v>
      </c>
      <c r="I541" s="74">
        <v>185.1</v>
      </c>
      <c r="J541" s="74">
        <v>185.1</v>
      </c>
      <c r="K541" s="74">
        <v>222.1</v>
      </c>
      <c r="W541" s="74">
        <v>740.3</v>
      </c>
      <c r="X541" s="74">
        <v>740.3</v>
      </c>
    </row>
    <row r="542" spans="1:24" ht="15" customHeight="1">
      <c r="A542" s="26" t="s">
        <v>19</v>
      </c>
      <c r="B542" s="32" t="s">
        <v>88</v>
      </c>
      <c r="C542" s="32" t="s">
        <v>101</v>
      </c>
      <c r="D542" s="32" t="s">
        <v>246</v>
      </c>
      <c r="E542" s="32" t="s">
        <v>104</v>
      </c>
      <c r="F542" s="32" t="s">
        <v>127</v>
      </c>
      <c r="G542" s="74">
        <f>H542+I542+J542+K542</f>
        <v>911.6</v>
      </c>
      <c r="H542" s="74">
        <f>H544+H545+H550+H553</f>
        <v>280.1</v>
      </c>
      <c r="I542" s="74">
        <f>I544+I545+I550+I553</f>
        <v>204.60000000000002</v>
      </c>
      <c r="J542" s="74">
        <f>J544+J545+J550+J553</f>
        <v>172.60000000000002</v>
      </c>
      <c r="K542" s="74">
        <f>K544+K545+K550+K553</f>
        <v>254.29999999999998</v>
      </c>
      <c r="W542" s="74">
        <f>W544+W545+W550+W553</f>
        <v>920.9</v>
      </c>
      <c r="X542" s="74">
        <f>X544+X545+X550+X553</f>
        <v>930.5</v>
      </c>
    </row>
    <row r="543" spans="1:24" ht="15" customHeight="1" hidden="1">
      <c r="A543" s="26" t="s">
        <v>20</v>
      </c>
      <c r="B543" s="32" t="s">
        <v>88</v>
      </c>
      <c r="C543" s="32" t="s">
        <v>101</v>
      </c>
      <c r="D543" s="32" t="s">
        <v>246</v>
      </c>
      <c r="E543" s="32" t="s">
        <v>104</v>
      </c>
      <c r="F543" s="32" t="s">
        <v>128</v>
      </c>
      <c r="G543" s="74"/>
      <c r="H543" s="74"/>
      <c r="I543" s="74"/>
      <c r="J543" s="74"/>
      <c r="K543" s="74"/>
      <c r="W543" s="74"/>
      <c r="X543" s="74"/>
    </row>
    <row r="544" spans="1:24" ht="13.5" customHeight="1">
      <c r="A544" s="26" t="s">
        <v>21</v>
      </c>
      <c r="B544" s="32" t="s">
        <v>88</v>
      </c>
      <c r="C544" s="32" t="s">
        <v>101</v>
      </c>
      <c r="D544" s="32" t="s">
        <v>246</v>
      </c>
      <c r="E544" s="32" t="s">
        <v>104</v>
      </c>
      <c r="F544" s="32" t="s">
        <v>129</v>
      </c>
      <c r="G544" s="74">
        <f>I544+J544+K544+H544</f>
        <v>35.8</v>
      </c>
      <c r="H544" s="74">
        <v>8.9</v>
      </c>
      <c r="I544" s="74">
        <v>8.9</v>
      </c>
      <c r="J544" s="74">
        <v>8.9</v>
      </c>
      <c r="K544" s="74">
        <v>9.1</v>
      </c>
      <c r="W544" s="74">
        <v>35.8</v>
      </c>
      <c r="X544" s="74">
        <v>35.8</v>
      </c>
    </row>
    <row r="545" spans="1:24" ht="13.5" customHeight="1">
      <c r="A545" s="26" t="s">
        <v>22</v>
      </c>
      <c r="B545" s="32" t="s">
        <v>88</v>
      </c>
      <c r="C545" s="32" t="s">
        <v>101</v>
      </c>
      <c r="D545" s="32" t="s">
        <v>246</v>
      </c>
      <c r="E545" s="32" t="s">
        <v>104</v>
      </c>
      <c r="F545" s="32" t="s">
        <v>130</v>
      </c>
      <c r="G545" s="74">
        <f>H545+I545+J545+K545</f>
        <v>482.29999999999995</v>
      </c>
      <c r="H545" s="74">
        <f>H547+H548+H549</f>
        <v>173.7</v>
      </c>
      <c r="I545" s="74">
        <f>I547+I548+I549</f>
        <v>97.4</v>
      </c>
      <c r="J545" s="74">
        <f>J547+J548+J549</f>
        <v>65.4</v>
      </c>
      <c r="K545" s="74">
        <f>K547+K548+K549</f>
        <v>145.79999999999998</v>
      </c>
      <c r="W545" s="74">
        <f>W547+W548+W549</f>
        <v>491.6</v>
      </c>
      <c r="X545" s="74">
        <f>X547+X548+X549</f>
        <v>501.2</v>
      </c>
    </row>
    <row r="546" spans="1:24" ht="13.5" customHeight="1">
      <c r="A546" s="26" t="s">
        <v>23</v>
      </c>
      <c r="B546" s="32" t="s">
        <v>88</v>
      </c>
      <c r="C546" s="32" t="s">
        <v>101</v>
      </c>
      <c r="D546" s="32" t="s">
        <v>246</v>
      </c>
      <c r="E546" s="32" t="s">
        <v>104</v>
      </c>
      <c r="F546" s="32"/>
      <c r="G546" s="74"/>
      <c r="H546" s="74"/>
      <c r="I546" s="74"/>
      <c r="J546" s="74"/>
      <c r="K546" s="74"/>
      <c r="W546" s="74"/>
      <c r="X546" s="74"/>
    </row>
    <row r="547" spans="1:24" ht="13.5" customHeight="1">
      <c r="A547" s="26" t="s">
        <v>24</v>
      </c>
      <c r="B547" s="32" t="s">
        <v>88</v>
      </c>
      <c r="C547" s="32" t="s">
        <v>101</v>
      </c>
      <c r="D547" s="32" t="s">
        <v>246</v>
      </c>
      <c r="E547" s="32" t="s">
        <v>104</v>
      </c>
      <c r="F547" s="32" t="s">
        <v>130</v>
      </c>
      <c r="G547" s="74">
        <f>H547+I547+J547+K547</f>
        <v>161.9</v>
      </c>
      <c r="H547" s="74">
        <v>60</v>
      </c>
      <c r="I547" s="74">
        <v>32</v>
      </c>
      <c r="J547" s="74">
        <v>0</v>
      </c>
      <c r="K547" s="74">
        <v>69.9</v>
      </c>
      <c r="W547" s="74">
        <v>168.4</v>
      </c>
      <c r="X547" s="74">
        <v>175.1</v>
      </c>
    </row>
    <row r="548" spans="1:24" ht="12.75" customHeight="1">
      <c r="A548" s="26" t="s">
        <v>25</v>
      </c>
      <c r="B548" s="32" t="s">
        <v>88</v>
      </c>
      <c r="C548" s="32" t="s">
        <v>101</v>
      </c>
      <c r="D548" s="32" t="s">
        <v>246</v>
      </c>
      <c r="E548" s="32" t="s">
        <v>104</v>
      </c>
      <c r="F548" s="32" t="s">
        <v>130</v>
      </c>
      <c r="G548" s="74">
        <f>H548+I548+J548+K548</f>
        <v>286.8</v>
      </c>
      <c r="H548" s="74">
        <v>106</v>
      </c>
      <c r="I548" s="74">
        <v>57</v>
      </c>
      <c r="J548" s="74">
        <v>57</v>
      </c>
      <c r="K548" s="74">
        <v>66.8</v>
      </c>
      <c r="W548" s="74">
        <v>289.3</v>
      </c>
      <c r="X548" s="74">
        <v>291.9</v>
      </c>
    </row>
    <row r="549" spans="1:24" ht="14.25" customHeight="1">
      <c r="A549" s="26" t="s">
        <v>26</v>
      </c>
      <c r="B549" s="32" t="s">
        <v>88</v>
      </c>
      <c r="C549" s="32" t="s">
        <v>101</v>
      </c>
      <c r="D549" s="32" t="s">
        <v>246</v>
      </c>
      <c r="E549" s="32" t="s">
        <v>104</v>
      </c>
      <c r="F549" s="32" t="s">
        <v>130</v>
      </c>
      <c r="G549" s="74">
        <f>H549+I549+J549+K549</f>
        <v>33.6</v>
      </c>
      <c r="H549" s="74">
        <v>7.7</v>
      </c>
      <c r="I549" s="74">
        <v>8.4</v>
      </c>
      <c r="J549" s="74">
        <v>8.4</v>
      </c>
      <c r="K549" s="74">
        <v>9.1</v>
      </c>
      <c r="W549" s="74">
        <v>33.9</v>
      </c>
      <c r="X549" s="74">
        <v>34.2</v>
      </c>
    </row>
    <row r="550" spans="1:24" ht="13.5" customHeight="1">
      <c r="A550" s="26" t="s">
        <v>27</v>
      </c>
      <c r="B550" s="32" t="s">
        <v>88</v>
      </c>
      <c r="C550" s="32" t="s">
        <v>101</v>
      </c>
      <c r="D550" s="32" t="s">
        <v>246</v>
      </c>
      <c r="E550" s="32" t="s">
        <v>104</v>
      </c>
      <c r="F550" s="32" t="s">
        <v>105</v>
      </c>
      <c r="G550" s="74">
        <f>H550+I550+J550+K550</f>
        <v>143.5</v>
      </c>
      <c r="H550" s="74">
        <f>H552</f>
        <v>35</v>
      </c>
      <c r="I550" s="74">
        <f>I552</f>
        <v>35.8</v>
      </c>
      <c r="J550" s="74">
        <f>J552</f>
        <v>35.8</v>
      </c>
      <c r="K550" s="74">
        <f>K552</f>
        <v>36.9</v>
      </c>
      <c r="W550" s="74">
        <f>W552</f>
        <v>143.5</v>
      </c>
      <c r="X550" s="74">
        <f>X552</f>
        <v>143.5</v>
      </c>
    </row>
    <row r="551" spans="1:24" ht="11.25" customHeight="1">
      <c r="A551" s="26" t="s">
        <v>23</v>
      </c>
      <c r="B551" s="32" t="s">
        <v>88</v>
      </c>
      <c r="C551" s="32" t="s">
        <v>101</v>
      </c>
      <c r="D551" s="32" t="s">
        <v>246</v>
      </c>
      <c r="E551" s="32" t="s">
        <v>104</v>
      </c>
      <c r="F551" s="32"/>
      <c r="G551" s="74"/>
      <c r="H551" s="74"/>
      <c r="I551" s="74"/>
      <c r="J551" s="74"/>
      <c r="K551" s="74"/>
      <c r="W551" s="74"/>
      <c r="X551" s="74"/>
    </row>
    <row r="552" spans="1:24" ht="13.5" customHeight="1">
      <c r="A552" s="26" t="s">
        <v>28</v>
      </c>
      <c r="B552" s="32" t="s">
        <v>88</v>
      </c>
      <c r="C552" s="32" t="s">
        <v>101</v>
      </c>
      <c r="D552" s="32" t="s">
        <v>246</v>
      </c>
      <c r="E552" s="32" t="s">
        <v>104</v>
      </c>
      <c r="F552" s="32" t="s">
        <v>105</v>
      </c>
      <c r="G552" s="74">
        <f>H552+I552+J552+K552</f>
        <v>143.5</v>
      </c>
      <c r="H552" s="74">
        <v>35</v>
      </c>
      <c r="I552" s="74">
        <v>35.8</v>
      </c>
      <c r="J552" s="74">
        <v>35.8</v>
      </c>
      <c r="K552" s="74">
        <v>36.9</v>
      </c>
      <c r="W552" s="74">
        <v>143.5</v>
      </c>
      <c r="X552" s="74">
        <v>143.5</v>
      </c>
    </row>
    <row r="553" spans="1:24" ht="15" customHeight="1">
      <c r="A553" s="26" t="s">
        <v>30</v>
      </c>
      <c r="B553" s="32" t="s">
        <v>88</v>
      </c>
      <c r="C553" s="32" t="s">
        <v>101</v>
      </c>
      <c r="D553" s="32" t="s">
        <v>246</v>
      </c>
      <c r="E553" s="32" t="s">
        <v>104</v>
      </c>
      <c r="F553" s="32" t="s">
        <v>106</v>
      </c>
      <c r="G553" s="74">
        <f>H553+I553+J553+K553</f>
        <v>250</v>
      </c>
      <c r="H553" s="74">
        <f>H554</f>
        <v>62.5</v>
      </c>
      <c r="I553" s="74">
        <f>I554</f>
        <v>62.5</v>
      </c>
      <c r="J553" s="74">
        <f>J554</f>
        <v>62.5</v>
      </c>
      <c r="K553" s="74">
        <f>K554</f>
        <v>62.5</v>
      </c>
      <c r="W553" s="74">
        <f>W554</f>
        <v>250</v>
      </c>
      <c r="X553" s="74">
        <f>X554</f>
        <v>250</v>
      </c>
    </row>
    <row r="554" spans="1:24" ht="14.25" customHeight="1">
      <c r="A554" s="26" t="s">
        <v>78</v>
      </c>
      <c r="B554" s="32" t="s">
        <v>88</v>
      </c>
      <c r="C554" s="32" t="s">
        <v>101</v>
      </c>
      <c r="D554" s="32" t="s">
        <v>246</v>
      </c>
      <c r="E554" s="32" t="s">
        <v>104</v>
      </c>
      <c r="F554" s="32" t="s">
        <v>106</v>
      </c>
      <c r="G554" s="74">
        <f>H554+I554+J554+K554</f>
        <v>250</v>
      </c>
      <c r="H554" s="74">
        <v>62.5</v>
      </c>
      <c r="I554" s="74">
        <v>62.5</v>
      </c>
      <c r="J554" s="74">
        <v>62.5</v>
      </c>
      <c r="K554" s="74">
        <v>62.5</v>
      </c>
      <c r="W554" s="74">
        <v>250</v>
      </c>
      <c r="X554" s="74">
        <v>250</v>
      </c>
    </row>
    <row r="555" spans="1:24" ht="15" customHeight="1">
      <c r="A555" s="26" t="s">
        <v>31</v>
      </c>
      <c r="B555" s="32" t="s">
        <v>88</v>
      </c>
      <c r="C555" s="32" t="s">
        <v>101</v>
      </c>
      <c r="D555" s="32" t="s">
        <v>246</v>
      </c>
      <c r="E555" s="32" t="s">
        <v>104</v>
      </c>
      <c r="F555" s="32" t="s">
        <v>132</v>
      </c>
      <c r="G555" s="74">
        <f>H555+I555+J555+K555</f>
        <v>1542.8000000000002</v>
      </c>
      <c r="H555" s="74">
        <f>385.7-200</f>
        <v>185.7</v>
      </c>
      <c r="I555" s="74">
        <f>385.7+50-200-100-50</f>
        <v>85.69999999999999</v>
      </c>
      <c r="J555" s="74">
        <f>385.7+50+100+50</f>
        <v>585.7</v>
      </c>
      <c r="K555" s="74">
        <f>385.7+100+200</f>
        <v>685.7</v>
      </c>
      <c r="W555" s="74">
        <v>1542.8</v>
      </c>
      <c r="X555" s="74">
        <v>1542.8</v>
      </c>
    </row>
    <row r="556" spans="1:24" ht="15" customHeight="1" hidden="1">
      <c r="A556" s="25" t="s">
        <v>34</v>
      </c>
      <c r="B556" s="32" t="s">
        <v>88</v>
      </c>
      <c r="C556" s="32" t="s">
        <v>101</v>
      </c>
      <c r="D556" s="32" t="s">
        <v>246</v>
      </c>
      <c r="E556" s="32" t="s">
        <v>104</v>
      </c>
      <c r="F556" s="32" t="s">
        <v>134</v>
      </c>
      <c r="G556" s="74">
        <f>H556+I556+J556+K556</f>
        <v>0</v>
      </c>
      <c r="H556" s="74">
        <v>0</v>
      </c>
      <c r="I556" s="74">
        <f>100-67.41735-32.58265</f>
        <v>0</v>
      </c>
      <c r="J556" s="74">
        <f>32.58265+67.41735-100</f>
        <v>0</v>
      </c>
      <c r="K556" s="74">
        <f>500-500</f>
        <v>0</v>
      </c>
      <c r="W556" s="74">
        <f>32.58265+67.41735-100</f>
        <v>0</v>
      </c>
      <c r="X556" s="74">
        <f>500-500</f>
        <v>0</v>
      </c>
    </row>
    <row r="557" spans="1:24" ht="15" customHeight="1">
      <c r="A557" s="26" t="s">
        <v>37</v>
      </c>
      <c r="B557" s="32" t="s">
        <v>88</v>
      </c>
      <c r="C557" s="32" t="s">
        <v>101</v>
      </c>
      <c r="D557" s="32" t="s">
        <v>246</v>
      </c>
      <c r="E557" s="32" t="s">
        <v>104</v>
      </c>
      <c r="F557" s="32" t="s">
        <v>135</v>
      </c>
      <c r="G557" s="74">
        <f aca="true" t="shared" si="49" ref="G557:G567">H557+I557+J557+K557</f>
        <v>10</v>
      </c>
      <c r="H557" s="74">
        <v>2.5</v>
      </c>
      <c r="I557" s="74">
        <v>2.5</v>
      </c>
      <c r="J557" s="74">
        <v>2.5</v>
      </c>
      <c r="K557" s="74">
        <v>2.5</v>
      </c>
      <c r="W557" s="74">
        <v>10</v>
      </c>
      <c r="X557" s="74">
        <v>10</v>
      </c>
    </row>
    <row r="558" spans="1:24" ht="15" customHeight="1" hidden="1">
      <c r="A558" s="25" t="s">
        <v>34</v>
      </c>
      <c r="B558" s="32" t="s">
        <v>88</v>
      </c>
      <c r="C558" s="32" t="s">
        <v>101</v>
      </c>
      <c r="D558" s="32" t="s">
        <v>246</v>
      </c>
      <c r="E558" s="32" t="s">
        <v>122</v>
      </c>
      <c r="F558" s="32" t="s">
        <v>134</v>
      </c>
      <c r="G558" s="74">
        <f>H558+I558+J558+K558</f>
        <v>0</v>
      </c>
      <c r="H558" s="74">
        <v>0</v>
      </c>
      <c r="I558" s="74">
        <f>10-10</f>
        <v>0</v>
      </c>
      <c r="J558" s="74">
        <f>100-100</f>
        <v>0</v>
      </c>
      <c r="K558" s="74">
        <v>0</v>
      </c>
      <c r="W558" s="74">
        <f>100-100</f>
        <v>0</v>
      </c>
      <c r="X558" s="74">
        <v>0</v>
      </c>
    </row>
    <row r="559" spans="1:24" ht="17.25" customHeight="1" hidden="1">
      <c r="A559" s="35" t="s">
        <v>320</v>
      </c>
      <c r="B559" s="34" t="s">
        <v>88</v>
      </c>
      <c r="C559" s="34" t="s">
        <v>101</v>
      </c>
      <c r="D559" s="34" t="s">
        <v>319</v>
      </c>
      <c r="E559" s="34" t="s">
        <v>121</v>
      </c>
      <c r="F559" s="34"/>
      <c r="G559" s="71">
        <f t="shared" si="49"/>
        <v>0</v>
      </c>
      <c r="H559" s="71">
        <f>H560</f>
        <v>0</v>
      </c>
      <c r="I559" s="71">
        <f>I560</f>
        <v>0</v>
      </c>
      <c r="J559" s="71">
        <f>J560</f>
        <v>0</v>
      </c>
      <c r="K559" s="71">
        <f>K560</f>
        <v>0</v>
      </c>
      <c r="W559" s="71">
        <f>W560</f>
        <v>0</v>
      </c>
      <c r="X559" s="71">
        <f>X560</f>
        <v>0</v>
      </c>
    </row>
    <row r="560" spans="1:24" ht="15" customHeight="1" hidden="1">
      <c r="A560" s="25" t="s">
        <v>31</v>
      </c>
      <c r="B560" s="32" t="s">
        <v>88</v>
      </c>
      <c r="C560" s="32" t="s">
        <v>101</v>
      </c>
      <c r="D560" s="32" t="s">
        <v>319</v>
      </c>
      <c r="E560" s="32" t="s">
        <v>104</v>
      </c>
      <c r="F560" s="32" t="s">
        <v>129</v>
      </c>
      <c r="G560" s="74">
        <f t="shared" si="49"/>
        <v>0</v>
      </c>
      <c r="H560" s="71">
        <v>0</v>
      </c>
      <c r="I560" s="71">
        <v>0</v>
      </c>
      <c r="J560" s="71">
        <v>0</v>
      </c>
      <c r="K560" s="71">
        <v>0</v>
      </c>
      <c r="W560" s="71">
        <v>0</v>
      </c>
      <c r="X560" s="71">
        <v>0</v>
      </c>
    </row>
    <row r="561" spans="1:24" ht="83.25" customHeight="1" hidden="1">
      <c r="A561" s="61" t="s">
        <v>392</v>
      </c>
      <c r="B561" s="34" t="s">
        <v>88</v>
      </c>
      <c r="C561" s="34" t="s">
        <v>101</v>
      </c>
      <c r="D561" s="34" t="s">
        <v>319</v>
      </c>
      <c r="E561" s="34" t="s">
        <v>121</v>
      </c>
      <c r="F561" s="34" t="s">
        <v>71</v>
      </c>
      <c r="G561" s="71">
        <f>G562</f>
        <v>0</v>
      </c>
      <c r="H561" s="71">
        <f>H562</f>
        <v>0</v>
      </c>
      <c r="I561" s="71">
        <f>I562</f>
        <v>0</v>
      </c>
      <c r="J561" s="71">
        <f>J562</f>
        <v>0</v>
      </c>
      <c r="K561" s="71">
        <f>K562</f>
        <v>0</v>
      </c>
      <c r="W561" s="71">
        <f>W562</f>
        <v>0</v>
      </c>
      <c r="X561" s="71">
        <f>X562</f>
        <v>0</v>
      </c>
    </row>
    <row r="562" spans="1:24" ht="15" customHeight="1" hidden="1">
      <c r="A562" s="25" t="s">
        <v>15</v>
      </c>
      <c r="B562" s="32" t="s">
        <v>88</v>
      </c>
      <c r="C562" s="32" t="s">
        <v>101</v>
      </c>
      <c r="D562" s="32" t="s">
        <v>319</v>
      </c>
      <c r="E562" s="32" t="s">
        <v>104</v>
      </c>
      <c r="F562" s="32" t="s">
        <v>123</v>
      </c>
      <c r="G562" s="74">
        <f>H562+I562+J562+K562</f>
        <v>0</v>
      </c>
      <c r="H562" s="71">
        <f>H563+H564</f>
        <v>0</v>
      </c>
      <c r="I562" s="71">
        <f>I563+I564</f>
        <v>0</v>
      </c>
      <c r="J562" s="71">
        <f>J563+J564</f>
        <v>0</v>
      </c>
      <c r="K562" s="71">
        <f>K563+K564</f>
        <v>0</v>
      </c>
      <c r="W562" s="71">
        <f>W563+W564</f>
        <v>0</v>
      </c>
      <c r="X562" s="71">
        <f>X563+X564</f>
        <v>0</v>
      </c>
    </row>
    <row r="563" spans="1:24" ht="15" customHeight="1" hidden="1">
      <c r="A563" s="26" t="s">
        <v>16</v>
      </c>
      <c r="B563" s="32" t="s">
        <v>88</v>
      </c>
      <c r="C563" s="32" t="s">
        <v>101</v>
      </c>
      <c r="D563" s="32" t="s">
        <v>319</v>
      </c>
      <c r="E563" s="32" t="s">
        <v>104</v>
      </c>
      <c r="F563" s="32" t="s">
        <v>124</v>
      </c>
      <c r="G563" s="74">
        <f>H563+I563+J563+K563</f>
        <v>0</v>
      </c>
      <c r="H563" s="71"/>
      <c r="I563" s="71"/>
      <c r="J563" s="71"/>
      <c r="K563" s="71"/>
      <c r="W563" s="71"/>
      <c r="X563" s="71"/>
    </row>
    <row r="564" spans="1:24" ht="15" customHeight="1" hidden="1">
      <c r="A564" s="26" t="s">
        <v>18</v>
      </c>
      <c r="B564" s="32" t="s">
        <v>88</v>
      </c>
      <c r="C564" s="32" t="s">
        <v>101</v>
      </c>
      <c r="D564" s="32" t="s">
        <v>319</v>
      </c>
      <c r="E564" s="32" t="s">
        <v>104</v>
      </c>
      <c r="F564" s="32" t="s">
        <v>126</v>
      </c>
      <c r="G564" s="74">
        <f>H564+I564+J564+K564</f>
        <v>0</v>
      </c>
      <c r="H564" s="71"/>
      <c r="I564" s="71"/>
      <c r="J564" s="71"/>
      <c r="K564" s="71"/>
      <c r="W564" s="71"/>
      <c r="X564" s="71"/>
    </row>
    <row r="565" spans="1:24" ht="26.25" customHeight="1" hidden="1">
      <c r="A565" s="35" t="s">
        <v>321</v>
      </c>
      <c r="B565" s="34" t="s">
        <v>88</v>
      </c>
      <c r="C565" s="34" t="s">
        <v>101</v>
      </c>
      <c r="D565" s="34" t="s">
        <v>322</v>
      </c>
      <c r="E565" s="34" t="s">
        <v>121</v>
      </c>
      <c r="F565" s="34"/>
      <c r="G565" s="71">
        <f t="shared" si="49"/>
        <v>0</v>
      </c>
      <c r="H565" s="71">
        <f>H566+H567</f>
        <v>0</v>
      </c>
      <c r="I565" s="71">
        <f>I566+I567</f>
        <v>0</v>
      </c>
      <c r="J565" s="71">
        <f>J566+J567</f>
        <v>0</v>
      </c>
      <c r="K565" s="71">
        <f>K566+K567</f>
        <v>0</v>
      </c>
      <c r="W565" s="71">
        <f>W566+W567</f>
        <v>0</v>
      </c>
      <c r="X565" s="71">
        <f>X566+X567</f>
        <v>0</v>
      </c>
    </row>
    <row r="566" spans="1:24" ht="15" customHeight="1" hidden="1">
      <c r="A566" s="25" t="s">
        <v>30</v>
      </c>
      <c r="B566" s="32" t="s">
        <v>88</v>
      </c>
      <c r="C566" s="32" t="s">
        <v>101</v>
      </c>
      <c r="D566" s="32" t="s">
        <v>322</v>
      </c>
      <c r="E566" s="32" t="s">
        <v>104</v>
      </c>
      <c r="F566" s="32" t="s">
        <v>106</v>
      </c>
      <c r="G566" s="74">
        <f t="shared" si="49"/>
        <v>0</v>
      </c>
      <c r="H566" s="74">
        <v>0</v>
      </c>
      <c r="I566" s="74">
        <v>0</v>
      </c>
      <c r="J566" s="74">
        <v>0</v>
      </c>
      <c r="K566" s="74">
        <v>0</v>
      </c>
      <c r="W566" s="74">
        <v>0</v>
      </c>
      <c r="X566" s="74">
        <v>0</v>
      </c>
    </row>
    <row r="567" spans="1:24" ht="15" customHeight="1" hidden="1">
      <c r="A567" s="26" t="s">
        <v>31</v>
      </c>
      <c r="B567" s="32" t="s">
        <v>88</v>
      </c>
      <c r="C567" s="32" t="s">
        <v>101</v>
      </c>
      <c r="D567" s="32" t="s">
        <v>322</v>
      </c>
      <c r="E567" s="32" t="s">
        <v>104</v>
      </c>
      <c r="F567" s="32" t="s">
        <v>132</v>
      </c>
      <c r="G567" s="74">
        <f t="shared" si="49"/>
        <v>0</v>
      </c>
      <c r="H567" s="74">
        <v>0</v>
      </c>
      <c r="I567" s="74">
        <v>0</v>
      </c>
      <c r="J567" s="74">
        <v>0</v>
      </c>
      <c r="K567" s="74">
        <v>0</v>
      </c>
      <c r="W567" s="74">
        <v>0</v>
      </c>
      <c r="X567" s="74">
        <v>0</v>
      </c>
    </row>
    <row r="568" spans="1:24" ht="65.25" customHeight="1">
      <c r="A568" s="61" t="s">
        <v>455</v>
      </c>
      <c r="B568" s="32" t="s">
        <v>88</v>
      </c>
      <c r="C568" s="32" t="s">
        <v>101</v>
      </c>
      <c r="D568" s="32" t="s">
        <v>322</v>
      </c>
      <c r="E568" s="32" t="s">
        <v>149</v>
      </c>
      <c r="F568" s="32"/>
      <c r="G568" s="74">
        <f aca="true" t="shared" si="50" ref="G568:G580">H568+I568+J568+K568</f>
        <v>72.7</v>
      </c>
      <c r="H568" s="74">
        <f>H569</f>
        <v>12.7</v>
      </c>
      <c r="I568" s="74">
        <f>I569</f>
        <v>20</v>
      </c>
      <c r="J568" s="74">
        <f>J569</f>
        <v>20</v>
      </c>
      <c r="K568" s="74">
        <f>K569</f>
        <v>20</v>
      </c>
      <c r="W568" s="74">
        <f>W569</f>
        <v>100</v>
      </c>
      <c r="X568" s="74">
        <f>X569</f>
        <v>100</v>
      </c>
    </row>
    <row r="569" spans="1:24" ht="15" customHeight="1">
      <c r="A569" s="25" t="s">
        <v>34</v>
      </c>
      <c r="B569" s="32" t="s">
        <v>88</v>
      </c>
      <c r="C569" s="32" t="s">
        <v>101</v>
      </c>
      <c r="D569" s="32" t="s">
        <v>322</v>
      </c>
      <c r="E569" s="32" t="s">
        <v>122</v>
      </c>
      <c r="F569" s="32" t="s">
        <v>134</v>
      </c>
      <c r="G569" s="74">
        <f t="shared" si="50"/>
        <v>72.7</v>
      </c>
      <c r="H569" s="74">
        <v>12.7</v>
      </c>
      <c r="I569" s="74">
        <v>20</v>
      </c>
      <c r="J569" s="74">
        <v>20</v>
      </c>
      <c r="K569" s="74">
        <v>20</v>
      </c>
      <c r="W569" s="74">
        <v>100</v>
      </c>
      <c r="X569" s="74">
        <v>100</v>
      </c>
    </row>
    <row r="570" spans="1:24" ht="27" customHeight="1">
      <c r="A570" s="36" t="s">
        <v>243</v>
      </c>
      <c r="B570" s="39" t="s">
        <v>88</v>
      </c>
      <c r="C570" s="39" t="s">
        <v>137</v>
      </c>
      <c r="D570" s="31" t="s">
        <v>173</v>
      </c>
      <c r="E570" s="39" t="s">
        <v>66</v>
      </c>
      <c r="F570" s="39"/>
      <c r="G570" s="73">
        <f t="shared" si="50"/>
        <v>7137</v>
      </c>
      <c r="H570" s="73">
        <f>H571</f>
        <v>32</v>
      </c>
      <c r="I570" s="73">
        <f>I571</f>
        <v>3507.7</v>
      </c>
      <c r="J570" s="73">
        <f>J571</f>
        <v>35</v>
      </c>
      <c r="K570" s="73">
        <f>K571</f>
        <v>3562.3</v>
      </c>
      <c r="W570" s="73">
        <f>W571</f>
        <v>137</v>
      </c>
      <c r="X570" s="73">
        <f>X571</f>
        <v>137</v>
      </c>
    </row>
    <row r="571" spans="1:24" ht="24.75" customHeight="1">
      <c r="A571" s="30" t="s">
        <v>473</v>
      </c>
      <c r="B571" s="31" t="s">
        <v>88</v>
      </c>
      <c r="C571" s="31" t="s">
        <v>137</v>
      </c>
      <c r="D571" s="31" t="s">
        <v>240</v>
      </c>
      <c r="E571" s="31" t="s">
        <v>142</v>
      </c>
      <c r="F571" s="32"/>
      <c r="G571" s="75">
        <f t="shared" si="50"/>
        <v>7137</v>
      </c>
      <c r="H571" s="75">
        <f>H572+H575+H577+H579</f>
        <v>32</v>
      </c>
      <c r="I571" s="75">
        <f>I572+I575+I577+I579</f>
        <v>3507.7</v>
      </c>
      <c r="J571" s="75">
        <f>J572+J575+J577+J579</f>
        <v>35</v>
      </c>
      <c r="K571" s="75">
        <f>K572+K575+K577+K579</f>
        <v>3562.3</v>
      </c>
      <c r="W571" s="75">
        <f>W572+W575+W577+W579</f>
        <v>137</v>
      </c>
      <c r="X571" s="75">
        <f>X572+X575+X577+X579</f>
        <v>137</v>
      </c>
    </row>
    <row r="572" spans="1:24" ht="39.75" customHeight="1">
      <c r="A572" s="35" t="s">
        <v>244</v>
      </c>
      <c r="B572" s="34" t="s">
        <v>88</v>
      </c>
      <c r="C572" s="34" t="s">
        <v>137</v>
      </c>
      <c r="D572" s="34" t="s">
        <v>247</v>
      </c>
      <c r="E572" s="34" t="s">
        <v>110</v>
      </c>
      <c r="F572" s="34"/>
      <c r="G572" s="71">
        <f t="shared" si="50"/>
        <v>137</v>
      </c>
      <c r="H572" s="71">
        <f>H574+H573</f>
        <v>32</v>
      </c>
      <c r="I572" s="71">
        <f>I574+I573</f>
        <v>35</v>
      </c>
      <c r="J572" s="71">
        <f>J574+J573</f>
        <v>35</v>
      </c>
      <c r="K572" s="71">
        <f>K574+K573</f>
        <v>35</v>
      </c>
      <c r="W572" s="71">
        <f>W574+W573</f>
        <v>137</v>
      </c>
      <c r="X572" s="71">
        <f>X574+X573</f>
        <v>137</v>
      </c>
    </row>
    <row r="573" spans="1:24" ht="15" customHeight="1" hidden="1">
      <c r="A573" s="26" t="s">
        <v>30</v>
      </c>
      <c r="B573" s="32" t="s">
        <v>88</v>
      </c>
      <c r="C573" s="32" t="s">
        <v>137</v>
      </c>
      <c r="D573" s="32" t="s">
        <v>247</v>
      </c>
      <c r="E573" s="32" t="s">
        <v>109</v>
      </c>
      <c r="F573" s="32" t="s">
        <v>52</v>
      </c>
      <c r="G573" s="74">
        <f t="shared" si="50"/>
        <v>0</v>
      </c>
      <c r="H573" s="71">
        <v>0</v>
      </c>
      <c r="I573" s="71">
        <v>0</v>
      </c>
      <c r="J573" s="71">
        <v>0</v>
      </c>
      <c r="K573" s="71">
        <v>0</v>
      </c>
      <c r="W573" s="71">
        <v>0</v>
      </c>
      <c r="X573" s="71">
        <v>0</v>
      </c>
    </row>
    <row r="574" spans="1:24" ht="12.75" customHeight="1">
      <c r="A574" s="25" t="s">
        <v>31</v>
      </c>
      <c r="B574" s="32" t="s">
        <v>88</v>
      </c>
      <c r="C574" s="32" t="s">
        <v>137</v>
      </c>
      <c r="D574" s="32" t="s">
        <v>247</v>
      </c>
      <c r="E574" s="32" t="s">
        <v>109</v>
      </c>
      <c r="F574" s="32" t="s">
        <v>53</v>
      </c>
      <c r="G574" s="74">
        <f t="shared" si="50"/>
        <v>137</v>
      </c>
      <c r="H574" s="71">
        <v>32</v>
      </c>
      <c r="I574" s="71">
        <v>35</v>
      </c>
      <c r="J574" s="71">
        <v>35</v>
      </c>
      <c r="K574" s="71">
        <v>35</v>
      </c>
      <c r="W574" s="71">
        <v>137</v>
      </c>
      <c r="X574" s="71">
        <v>137</v>
      </c>
    </row>
    <row r="575" spans="1:24" ht="60" customHeight="1">
      <c r="A575" s="61" t="s">
        <v>445</v>
      </c>
      <c r="B575" s="34" t="s">
        <v>88</v>
      </c>
      <c r="C575" s="34" t="s">
        <v>137</v>
      </c>
      <c r="D575" s="34" t="s">
        <v>248</v>
      </c>
      <c r="E575" s="32" t="s">
        <v>149</v>
      </c>
      <c r="F575" s="32"/>
      <c r="G575" s="71">
        <f t="shared" si="50"/>
        <v>3527.3</v>
      </c>
      <c r="H575" s="71">
        <f>H576</f>
        <v>0</v>
      </c>
      <c r="I575" s="71">
        <f>I576</f>
        <v>0</v>
      </c>
      <c r="J575" s="71">
        <f>J576</f>
        <v>0</v>
      </c>
      <c r="K575" s="71">
        <f>K576</f>
        <v>3527.3</v>
      </c>
      <c r="W575" s="71">
        <f>W576</f>
        <v>0</v>
      </c>
      <c r="X575" s="71">
        <f>X576</f>
        <v>0</v>
      </c>
    </row>
    <row r="576" spans="1:24" ht="13.5" customHeight="1">
      <c r="A576" s="25" t="s">
        <v>34</v>
      </c>
      <c r="B576" s="32" t="s">
        <v>88</v>
      </c>
      <c r="C576" s="32" t="s">
        <v>137</v>
      </c>
      <c r="D576" s="32" t="s">
        <v>248</v>
      </c>
      <c r="E576" s="32" t="s">
        <v>122</v>
      </c>
      <c r="F576" s="32" t="s">
        <v>134</v>
      </c>
      <c r="G576" s="74">
        <f t="shared" si="50"/>
        <v>3527.3</v>
      </c>
      <c r="H576" s="74">
        <f>50-50</f>
        <v>0</v>
      </c>
      <c r="I576" s="74"/>
      <c r="J576" s="74">
        <f>100-100</f>
        <v>0</v>
      </c>
      <c r="K576" s="74">
        <v>3527.3</v>
      </c>
      <c r="W576" s="74">
        <f>100-100</f>
        <v>0</v>
      </c>
      <c r="X576" s="74">
        <v>0</v>
      </c>
    </row>
    <row r="577" spans="1:24" ht="57" customHeight="1">
      <c r="A577" s="61" t="s">
        <v>446</v>
      </c>
      <c r="B577" s="34" t="s">
        <v>88</v>
      </c>
      <c r="C577" s="34" t="s">
        <v>137</v>
      </c>
      <c r="D577" s="34" t="s">
        <v>249</v>
      </c>
      <c r="E577" s="32" t="s">
        <v>149</v>
      </c>
      <c r="F577" s="32"/>
      <c r="G577" s="71">
        <f t="shared" si="50"/>
        <v>3472.7</v>
      </c>
      <c r="H577" s="71">
        <f>H578</f>
        <v>0</v>
      </c>
      <c r="I577" s="71">
        <f>I578</f>
        <v>3472.7</v>
      </c>
      <c r="J577" s="71">
        <f>J578</f>
        <v>0</v>
      </c>
      <c r="K577" s="71">
        <f>K578</f>
        <v>0</v>
      </c>
      <c r="W577" s="71">
        <f>W578</f>
        <v>0</v>
      </c>
      <c r="X577" s="71">
        <f>X578</f>
        <v>0</v>
      </c>
    </row>
    <row r="578" spans="1:24" ht="13.5" customHeight="1">
      <c r="A578" s="25" t="s">
        <v>34</v>
      </c>
      <c r="B578" s="32" t="s">
        <v>88</v>
      </c>
      <c r="C578" s="32" t="s">
        <v>137</v>
      </c>
      <c r="D578" s="32" t="s">
        <v>249</v>
      </c>
      <c r="E578" s="32" t="s">
        <v>122</v>
      </c>
      <c r="F578" s="32" t="s">
        <v>134</v>
      </c>
      <c r="G578" s="74">
        <f t="shared" si="50"/>
        <v>3472.7</v>
      </c>
      <c r="H578" s="74">
        <v>0</v>
      </c>
      <c r="I578" s="74">
        <v>3472.7</v>
      </c>
      <c r="J578" s="74">
        <v>0</v>
      </c>
      <c r="K578" s="74">
        <f>50-50</f>
        <v>0</v>
      </c>
      <c r="W578" s="74">
        <v>0</v>
      </c>
      <c r="X578" s="74">
        <f>50-50</f>
        <v>0</v>
      </c>
    </row>
    <row r="579" spans="1:24" ht="15.75" customHeight="1" hidden="1">
      <c r="A579" s="35" t="s">
        <v>284</v>
      </c>
      <c r="B579" s="34" t="s">
        <v>88</v>
      </c>
      <c r="C579" s="34" t="s">
        <v>137</v>
      </c>
      <c r="D579" s="34" t="s">
        <v>285</v>
      </c>
      <c r="E579" s="34" t="s">
        <v>110</v>
      </c>
      <c r="F579" s="34"/>
      <c r="G579" s="71">
        <f t="shared" si="50"/>
        <v>0</v>
      </c>
      <c r="H579" s="71">
        <f>H580</f>
        <v>0</v>
      </c>
      <c r="I579" s="71">
        <f>I580</f>
        <v>0</v>
      </c>
      <c r="J579" s="71">
        <f>J580</f>
        <v>0</v>
      </c>
      <c r="K579" s="71">
        <f>K580</f>
        <v>0</v>
      </c>
      <c r="W579" s="71">
        <f>W580</f>
        <v>0</v>
      </c>
      <c r="X579" s="71">
        <f>X580</f>
        <v>0</v>
      </c>
    </row>
    <row r="580" spans="1:24" ht="13.5" customHeight="1" hidden="1">
      <c r="A580" s="25" t="s">
        <v>143</v>
      </c>
      <c r="B580" s="32" t="s">
        <v>88</v>
      </c>
      <c r="C580" s="32" t="s">
        <v>137</v>
      </c>
      <c r="D580" s="32" t="s">
        <v>285</v>
      </c>
      <c r="E580" s="32" t="s">
        <v>109</v>
      </c>
      <c r="F580" s="32" t="s">
        <v>51</v>
      </c>
      <c r="G580" s="71">
        <f t="shared" si="50"/>
        <v>0</v>
      </c>
      <c r="H580" s="74">
        <f>100-100</f>
        <v>0</v>
      </c>
      <c r="I580" s="74">
        <f>100-100</f>
        <v>0</v>
      </c>
      <c r="J580" s="74">
        <v>0</v>
      </c>
      <c r="K580" s="74">
        <v>0</v>
      </c>
      <c r="W580" s="74">
        <v>0</v>
      </c>
      <c r="X580" s="74">
        <v>0</v>
      </c>
    </row>
    <row r="581" spans="1:24" ht="39" customHeight="1" hidden="1">
      <c r="A581" s="37" t="s">
        <v>338</v>
      </c>
      <c r="B581" s="58">
        <v>708</v>
      </c>
      <c r="C581" s="59"/>
      <c r="D581" s="32"/>
      <c r="E581" s="32"/>
      <c r="F581" s="53"/>
      <c r="G581" s="74"/>
      <c r="H581" s="74"/>
      <c r="I581" s="74"/>
      <c r="J581" s="74"/>
      <c r="K581" s="74"/>
      <c r="W581" s="74"/>
      <c r="X581" s="74"/>
    </row>
    <row r="582" spans="1:24" ht="13.5" customHeight="1" hidden="1">
      <c r="A582" s="30" t="s">
        <v>339</v>
      </c>
      <c r="B582" s="24">
        <v>708</v>
      </c>
      <c r="C582" s="31" t="s">
        <v>340</v>
      </c>
      <c r="D582" s="31" t="s">
        <v>158</v>
      </c>
      <c r="E582" s="31" t="s">
        <v>145</v>
      </c>
      <c r="F582" s="31"/>
      <c r="G582" s="75">
        <f>H582+I582+J582+K582</f>
        <v>0</v>
      </c>
      <c r="H582" s="75">
        <f>H583</f>
        <v>0</v>
      </c>
      <c r="I582" s="75">
        <f>I583</f>
        <v>0</v>
      </c>
      <c r="J582" s="75">
        <f>J583</f>
        <v>0</v>
      </c>
      <c r="K582" s="75">
        <f>K583</f>
        <v>0</v>
      </c>
      <c r="W582" s="75">
        <f>W583</f>
        <v>0</v>
      </c>
      <c r="X582" s="75">
        <f>X583</f>
        <v>0</v>
      </c>
    </row>
    <row r="583" spans="1:24" ht="13.5" customHeight="1" hidden="1">
      <c r="A583" s="25" t="s">
        <v>31</v>
      </c>
      <c r="B583" s="26">
        <v>708</v>
      </c>
      <c r="C583" s="32" t="s">
        <v>340</v>
      </c>
      <c r="D583" s="32" t="s">
        <v>158</v>
      </c>
      <c r="E583" s="32" t="s">
        <v>341</v>
      </c>
      <c r="F583" s="32" t="s">
        <v>53</v>
      </c>
      <c r="G583" s="74">
        <f>H583+I583+J583+K583</f>
        <v>0</v>
      </c>
      <c r="H583" s="74">
        <v>0</v>
      </c>
      <c r="I583" s="74">
        <v>0</v>
      </c>
      <c r="J583" s="74">
        <v>0</v>
      </c>
      <c r="K583" s="74">
        <v>0</v>
      </c>
      <c r="W583" s="74">
        <v>0</v>
      </c>
      <c r="X583" s="74">
        <v>0</v>
      </c>
    </row>
    <row r="584" spans="1:24" ht="9.75" customHeight="1">
      <c r="A584" s="30"/>
      <c r="B584" s="32"/>
      <c r="C584" s="32"/>
      <c r="D584" s="32"/>
      <c r="E584" s="32"/>
      <c r="F584" s="32"/>
      <c r="G584" s="74"/>
      <c r="H584" s="74"/>
      <c r="I584" s="74"/>
      <c r="J584" s="74"/>
      <c r="K584" s="74"/>
      <c r="W584" s="74"/>
      <c r="X584" s="74"/>
    </row>
    <row r="585" spans="1:24" ht="12" customHeight="1">
      <c r="A585" s="30" t="s">
        <v>85</v>
      </c>
      <c r="B585" s="31"/>
      <c r="C585" s="31"/>
      <c r="D585" s="31"/>
      <c r="E585" s="31"/>
      <c r="F585" s="31"/>
      <c r="G585" s="75">
        <f>H585+I585+J585+K585</f>
        <v>75190.7</v>
      </c>
      <c r="H585" s="75">
        <f>H586+H590+H612+H614+H615+H616+H617+H618+H613</f>
        <v>18588.699999999997</v>
      </c>
      <c r="I585" s="75">
        <f>I586+I590+I612+I614+I615+I616+I617+I618+I613</f>
        <v>17041.8</v>
      </c>
      <c r="J585" s="75">
        <f>J586+J590+J612+J614+J615+J616+J617+J618+J613</f>
        <v>17689.2</v>
      </c>
      <c r="K585" s="75">
        <f>K586+K590+K612+K614+K615+K616+K617+K618+K613</f>
        <v>21871.000000000004</v>
      </c>
      <c r="W585" s="75">
        <f>W586+W590+W612+W614+W615+W616+W617+W618+W613</f>
        <v>66245</v>
      </c>
      <c r="X585" s="75">
        <f>X586+X590+X612+X614+X615+X616+X617+X618+X613</f>
        <v>65224</v>
      </c>
    </row>
    <row r="586" spans="1:24" ht="15" customHeight="1">
      <c r="A586" s="25" t="s">
        <v>15</v>
      </c>
      <c r="B586" s="32"/>
      <c r="C586" s="32"/>
      <c r="D586" s="32"/>
      <c r="E586" s="32"/>
      <c r="F586" s="32" t="s">
        <v>41</v>
      </c>
      <c r="G586" s="74">
        <f aca="true" t="shared" si="51" ref="G586:G591">H586+I586+J586+K586</f>
        <v>30978.160000000003</v>
      </c>
      <c r="H586" s="74">
        <f>H587+H588+H589</f>
        <v>6494.82</v>
      </c>
      <c r="I586" s="74">
        <f>I587+I588+I589</f>
        <v>7744.6</v>
      </c>
      <c r="J586" s="74">
        <f>J587+J588+J589</f>
        <v>7744.900000000001</v>
      </c>
      <c r="K586" s="74">
        <f>K587+K588+K589</f>
        <v>8993.840000000002</v>
      </c>
      <c r="W586" s="74">
        <f>W587+W588+W589</f>
        <v>30978.16</v>
      </c>
      <c r="X586" s="74">
        <f>X587+X588+X589</f>
        <v>30978.16</v>
      </c>
    </row>
    <row r="587" spans="1:24" ht="15.75" customHeight="1">
      <c r="A587" s="26" t="s">
        <v>16</v>
      </c>
      <c r="B587" s="32"/>
      <c r="C587" s="32"/>
      <c r="D587" s="32"/>
      <c r="E587" s="32"/>
      <c r="F587" s="32" t="s">
        <v>42</v>
      </c>
      <c r="G587" s="74">
        <f>H587+I587+J587+K587</f>
        <v>23793.06</v>
      </c>
      <c r="H587" s="74">
        <f>H20+H148+H232+H371+H539+H563</f>
        <v>4988.42</v>
      </c>
      <c r="I587" s="74">
        <f>I20+I148+I232+I371+I539+I563</f>
        <v>5948.2</v>
      </c>
      <c r="J587" s="74">
        <f>J20+J148+J232+J371+J539+J563</f>
        <v>5948.400000000001</v>
      </c>
      <c r="K587" s="74">
        <f>K20+K148+K232+K371+K539+K563</f>
        <v>6908.040000000002</v>
      </c>
      <c r="W587" s="74">
        <f>W20+W148+W232+W371+W539+W563</f>
        <v>23793.07</v>
      </c>
      <c r="X587" s="74">
        <f>X20+X148+X232+X371+X539+X563</f>
        <v>23793.07</v>
      </c>
    </row>
    <row r="588" spans="1:24" ht="15.75" customHeight="1" hidden="1">
      <c r="A588" s="26" t="s">
        <v>17</v>
      </c>
      <c r="B588" s="32"/>
      <c r="C588" s="32"/>
      <c r="D588" s="32"/>
      <c r="E588" s="32"/>
      <c r="F588" s="32" t="s">
        <v>43</v>
      </c>
      <c r="G588" s="74">
        <f t="shared" si="51"/>
        <v>0</v>
      </c>
      <c r="H588" s="74">
        <f>H21</f>
        <v>0</v>
      </c>
      <c r="I588" s="74">
        <f>I21</f>
        <v>0</v>
      </c>
      <c r="J588" s="74">
        <f>J21</f>
        <v>0</v>
      </c>
      <c r="K588" s="74">
        <f>K21</f>
        <v>0</v>
      </c>
      <c r="W588" s="74">
        <f>W21</f>
        <v>0</v>
      </c>
      <c r="X588" s="74">
        <f>X233+X21</f>
        <v>0</v>
      </c>
    </row>
    <row r="589" spans="1:24" ht="15.75" customHeight="1">
      <c r="A589" s="26" t="s">
        <v>18</v>
      </c>
      <c r="B589" s="32"/>
      <c r="C589" s="32"/>
      <c r="D589" s="32"/>
      <c r="E589" s="32"/>
      <c r="F589" s="32" t="s">
        <v>44</v>
      </c>
      <c r="G589" s="74">
        <f t="shared" si="51"/>
        <v>7185.1</v>
      </c>
      <c r="H589" s="74">
        <f>H22+H150+H234+H373+H541+H564</f>
        <v>1506.4</v>
      </c>
      <c r="I589" s="74">
        <f>I22+I150+I234+I373+I541+I564</f>
        <v>1796.4</v>
      </c>
      <c r="J589" s="74">
        <f>J22+J150+J234+J373+J541+J564</f>
        <v>1796.5</v>
      </c>
      <c r="K589" s="74">
        <f>K22+K150+K234+K373+K541+K564</f>
        <v>2085.8</v>
      </c>
      <c r="W589" s="74">
        <f>W22+W150+W234+W373+W541+W564</f>
        <v>7185.09</v>
      </c>
      <c r="X589" s="74">
        <f>X22+X150+X234+X373+X541+X564</f>
        <v>7185.09</v>
      </c>
    </row>
    <row r="590" spans="1:24" ht="15.75" customHeight="1">
      <c r="A590" s="26" t="s">
        <v>19</v>
      </c>
      <c r="B590" s="32"/>
      <c r="C590" s="32"/>
      <c r="D590" s="32"/>
      <c r="E590" s="32"/>
      <c r="F590" s="32" t="s">
        <v>47</v>
      </c>
      <c r="G590" s="74">
        <f t="shared" si="51"/>
        <v>29166.05</v>
      </c>
      <c r="H590" s="74">
        <f>H591+H592+H593+H599+H607</f>
        <v>10871.05</v>
      </c>
      <c r="I590" s="74">
        <f>I591+I592+I593+I599+I607</f>
        <v>4890.68</v>
      </c>
      <c r="J590" s="74">
        <f>J591+J592+J593+J599+J607</f>
        <v>5980.43</v>
      </c>
      <c r="K590" s="74">
        <f>K591+K592+K593+K599+K607</f>
        <v>7423.89</v>
      </c>
      <c r="W590" s="74">
        <f>W591+W592+W593+W599+W607</f>
        <v>28589</v>
      </c>
      <c r="X590" s="74">
        <f>X591+X592+X593+X599+X607</f>
        <v>27548.8</v>
      </c>
    </row>
    <row r="591" spans="1:24" ht="15.75" customHeight="1">
      <c r="A591" s="26" t="s">
        <v>20</v>
      </c>
      <c r="B591" s="32"/>
      <c r="C591" s="32"/>
      <c r="D591" s="32"/>
      <c r="E591" s="32"/>
      <c r="F591" s="32" t="s">
        <v>48</v>
      </c>
      <c r="G591" s="74">
        <f t="shared" si="51"/>
        <v>414.6</v>
      </c>
      <c r="H591" s="74">
        <f>H24+H151+H236+H375+H543</f>
        <v>84.7</v>
      </c>
      <c r="I591" s="74">
        <f>I24+I151+I236+I375+I543</f>
        <v>103.8</v>
      </c>
      <c r="J591" s="74">
        <f>J24+J151+J236+J375+J543</f>
        <v>103.8</v>
      </c>
      <c r="K591" s="74">
        <f>K24+K151+K236+K375+K543</f>
        <v>122.30000000000001</v>
      </c>
      <c r="W591" s="74">
        <f>W24+W151+W236+W375+W543</f>
        <v>431.29999999999995</v>
      </c>
      <c r="X591" s="74">
        <f>X24+X151+X236+X375+X543</f>
        <v>448.4</v>
      </c>
    </row>
    <row r="592" spans="1:24" ht="15.75" customHeight="1">
      <c r="A592" s="26" t="s">
        <v>21</v>
      </c>
      <c r="B592" s="32"/>
      <c r="C592" s="32"/>
      <c r="D592" s="32"/>
      <c r="E592" s="32"/>
      <c r="F592" s="32" t="s">
        <v>49</v>
      </c>
      <c r="G592" s="74">
        <f>H592+I592+J592+K592</f>
        <v>35.800000000000004</v>
      </c>
      <c r="H592" s="74">
        <f>H25+H181+H237+H366+H376+H544</f>
        <v>8.9</v>
      </c>
      <c r="I592" s="74">
        <f>I25+I181+I237+I366+I376+I544</f>
        <v>8.9</v>
      </c>
      <c r="J592" s="74">
        <f>J25+J181+J237+J366+J376+J544</f>
        <v>8.9</v>
      </c>
      <c r="K592" s="74">
        <f>K25+K181+K237+K366+K376+K544</f>
        <v>9.1</v>
      </c>
      <c r="W592" s="74">
        <f>W25+W181+W237+W366+W376+W544</f>
        <v>35.8</v>
      </c>
      <c r="X592" s="74">
        <f>X25+X181+X237+X366+X376+X544</f>
        <v>35.8</v>
      </c>
    </row>
    <row r="593" spans="1:24" ht="15.75" customHeight="1">
      <c r="A593" s="26" t="s">
        <v>22</v>
      </c>
      <c r="B593" s="32"/>
      <c r="C593" s="32"/>
      <c r="D593" s="32"/>
      <c r="E593" s="32"/>
      <c r="F593" s="32" t="s">
        <v>50</v>
      </c>
      <c r="G593" s="74">
        <f>H593+I593+K593+J593</f>
        <v>5490.42</v>
      </c>
      <c r="H593" s="74">
        <f>H595+H596+H597+H598</f>
        <v>1410.6</v>
      </c>
      <c r="I593" s="74">
        <f>I595+I596+I597+I598</f>
        <v>1005.0999999999999</v>
      </c>
      <c r="J593" s="74">
        <f>J595+J596+J597+J598</f>
        <v>685.7299999999999</v>
      </c>
      <c r="K593" s="74">
        <f>K595+K596+K597+K598</f>
        <v>2388.9900000000002</v>
      </c>
      <c r="W593" s="74">
        <f>W595+W596+W597+W598</f>
        <v>6682.600000000001</v>
      </c>
      <c r="X593" s="74">
        <f>X595+X596+X597+X598</f>
        <v>6832.599999999999</v>
      </c>
    </row>
    <row r="594" spans="1:24" ht="12.75" customHeight="1">
      <c r="A594" s="26" t="s">
        <v>23</v>
      </c>
      <c r="B594" s="32"/>
      <c r="C594" s="32"/>
      <c r="D594" s="32"/>
      <c r="E594" s="32"/>
      <c r="F594" s="32"/>
      <c r="G594" s="74"/>
      <c r="H594" s="74"/>
      <c r="I594" s="74"/>
      <c r="J594" s="74"/>
      <c r="K594" s="74"/>
      <c r="W594" s="74"/>
      <c r="X594" s="74"/>
    </row>
    <row r="595" spans="1:24" ht="15.75" customHeight="1">
      <c r="A595" s="26" t="s">
        <v>24</v>
      </c>
      <c r="B595" s="32"/>
      <c r="C595" s="32"/>
      <c r="D595" s="32"/>
      <c r="E595" s="32"/>
      <c r="F595" s="32" t="s">
        <v>50</v>
      </c>
      <c r="G595" s="74">
        <f>H595+I595+J595+K595</f>
        <v>1620.5</v>
      </c>
      <c r="H595" s="74">
        <f>H28+H154+H240+H379+H547</f>
        <v>553.4</v>
      </c>
      <c r="I595" s="74">
        <f>I28+I154+I240+I379+I547</f>
        <v>383.3</v>
      </c>
      <c r="J595" s="74">
        <f>J28+J154+J240+J379+J547</f>
        <v>0</v>
      </c>
      <c r="K595" s="74">
        <f>K28+K154+K240+K379+K547</f>
        <v>683.8000000000001</v>
      </c>
      <c r="W595" s="74">
        <f>W28+W154+W240+W379+W547</f>
        <v>1685.3000000000002</v>
      </c>
      <c r="X595" s="74">
        <f>X28+X154+X240+X379+X547</f>
        <v>1752.6999999999998</v>
      </c>
    </row>
    <row r="596" spans="1:24" ht="14.25" customHeight="1">
      <c r="A596" s="26" t="s">
        <v>25</v>
      </c>
      <c r="B596" s="32"/>
      <c r="C596" s="32"/>
      <c r="D596" s="32"/>
      <c r="E596" s="32"/>
      <c r="F596" s="32" t="s">
        <v>50</v>
      </c>
      <c r="G596" s="74">
        <f>H596+I596+J596+K596</f>
        <v>3767.79</v>
      </c>
      <c r="H596" s="74">
        <f aca="true" t="shared" si="52" ref="H596:K597">H29+H241+H380+H548</f>
        <v>835.2</v>
      </c>
      <c r="I596" s="74">
        <f t="shared" si="52"/>
        <v>596</v>
      </c>
      <c r="J596" s="74">
        <f t="shared" si="52"/>
        <v>659</v>
      </c>
      <c r="K596" s="74">
        <f t="shared" si="52"/>
        <v>1677.5900000000001</v>
      </c>
      <c r="W596" s="74">
        <f>W29+W241+W380+W548</f>
        <v>4893.400000000001</v>
      </c>
      <c r="X596" s="74">
        <f>X29+X241+X380+X548</f>
        <v>4974.999999999999</v>
      </c>
    </row>
    <row r="597" spans="1:24" ht="14.25" customHeight="1">
      <c r="A597" s="26" t="s">
        <v>26</v>
      </c>
      <c r="B597" s="32"/>
      <c r="C597" s="32"/>
      <c r="D597" s="32"/>
      <c r="E597" s="32"/>
      <c r="F597" s="32" t="s">
        <v>50</v>
      </c>
      <c r="G597" s="74">
        <f>H597+I597+J597+K597</f>
        <v>101.19999999999999</v>
      </c>
      <c r="H597" s="74">
        <f t="shared" si="52"/>
        <v>22</v>
      </c>
      <c r="I597" s="74">
        <f t="shared" si="52"/>
        <v>25.799999999999997</v>
      </c>
      <c r="J597" s="74">
        <f t="shared" si="52"/>
        <v>25.799999999999997</v>
      </c>
      <c r="K597" s="74">
        <f t="shared" si="52"/>
        <v>27.6</v>
      </c>
      <c r="W597" s="74">
        <f>W30+W242+W381+W549</f>
        <v>102.1</v>
      </c>
      <c r="X597" s="74">
        <f>X30+X242+X381+X549</f>
        <v>103.10000000000001</v>
      </c>
    </row>
    <row r="598" spans="1:24" ht="14.25" customHeight="1">
      <c r="A598" s="26" t="s">
        <v>287</v>
      </c>
      <c r="B598" s="32"/>
      <c r="C598" s="32"/>
      <c r="D598" s="32"/>
      <c r="E598" s="32"/>
      <c r="F598" s="32" t="s">
        <v>50</v>
      </c>
      <c r="G598" s="74">
        <f>H598+I598+J598+K598</f>
        <v>0.93</v>
      </c>
      <c r="H598" s="74">
        <f>H31</f>
        <v>0</v>
      </c>
      <c r="I598" s="74">
        <f>I31</f>
        <v>0</v>
      </c>
      <c r="J598" s="74">
        <f>J31</f>
        <v>0.93</v>
      </c>
      <c r="K598" s="74">
        <f>K31</f>
        <v>0</v>
      </c>
      <c r="W598" s="74">
        <f>W31</f>
        <v>1.8</v>
      </c>
      <c r="X598" s="74">
        <f>X31</f>
        <v>1.8</v>
      </c>
    </row>
    <row r="599" spans="1:24" ht="15.75" customHeight="1">
      <c r="A599" s="26" t="s">
        <v>27</v>
      </c>
      <c r="B599" s="32"/>
      <c r="C599" s="32"/>
      <c r="D599" s="32"/>
      <c r="E599" s="32"/>
      <c r="F599" s="32" t="s">
        <v>51</v>
      </c>
      <c r="G599" s="74">
        <f>H599+I599+J599+K599</f>
        <v>16789.4</v>
      </c>
      <c r="H599" s="74">
        <f>H601+H602+H603+H605+H606+H604</f>
        <v>6385.25</v>
      </c>
      <c r="I599" s="74">
        <f>I601+I602+I603+I605+I606+I604</f>
        <v>1361.05</v>
      </c>
      <c r="J599" s="74">
        <f>J601+J602+J603+J605+J606+J604</f>
        <v>4653.5</v>
      </c>
      <c r="K599" s="74">
        <f>K601+K602+K603+K605+K606+K604</f>
        <v>4389.6</v>
      </c>
      <c r="W599" s="74">
        <f>W601+W602+W603+W605+W606+W604</f>
        <v>18097.8</v>
      </c>
      <c r="X599" s="74">
        <f>X601+X602+X603+X605+X606+X604</f>
        <v>17197.8</v>
      </c>
    </row>
    <row r="600" spans="1:24" ht="12.75" customHeight="1">
      <c r="A600" s="26" t="s">
        <v>23</v>
      </c>
      <c r="B600" s="32"/>
      <c r="C600" s="32"/>
      <c r="D600" s="32"/>
      <c r="E600" s="32"/>
      <c r="F600" s="32"/>
      <c r="G600" s="74"/>
      <c r="H600" s="74"/>
      <c r="I600" s="74"/>
      <c r="J600" s="74"/>
      <c r="K600" s="74"/>
      <c r="W600" s="74"/>
      <c r="X600" s="74"/>
    </row>
    <row r="601" spans="1:24" ht="15.75" customHeight="1">
      <c r="A601" s="26" t="s">
        <v>286</v>
      </c>
      <c r="B601" s="32"/>
      <c r="C601" s="32"/>
      <c r="D601" s="32"/>
      <c r="E601" s="32"/>
      <c r="F601" s="32" t="s">
        <v>51</v>
      </c>
      <c r="G601" s="74">
        <f aca="true" t="shared" si="53" ref="G601:G607">H601+I601+J601+K601</f>
        <v>8211.9</v>
      </c>
      <c r="H601" s="74">
        <f>H552+H384+H245+H580+H198+H204+H208+H212+H224+H210</f>
        <v>5077</v>
      </c>
      <c r="I601" s="74">
        <f>I552+I384+I245+I580+I198+I204+I208+I212+I224+I210</f>
        <v>532.8</v>
      </c>
      <c r="J601" s="74">
        <f>J552+J384+J245+J580+J198+J204+J208+J212+J224+J210</f>
        <v>1820.7499999999998</v>
      </c>
      <c r="K601" s="74">
        <f>K552+K384+K245+K580+K198+K204+K208+K212+K224+K210</f>
        <v>781.3499999999999</v>
      </c>
      <c r="W601" s="74">
        <f>W552+W384+W245+W580+W198+W204+W208+W212+W224+W210</f>
        <v>9120.3</v>
      </c>
      <c r="X601" s="74">
        <f>X552+X384+X245+X580+X198+X204+X208+X212+X224+X210</f>
        <v>8220.3</v>
      </c>
    </row>
    <row r="602" spans="1:24" ht="15.75" customHeight="1" hidden="1">
      <c r="A602" s="26" t="s">
        <v>73</v>
      </c>
      <c r="B602" s="32"/>
      <c r="C602" s="32"/>
      <c r="D602" s="32"/>
      <c r="E602" s="32"/>
      <c r="F602" s="32" t="s">
        <v>51</v>
      </c>
      <c r="G602" s="74">
        <f t="shared" si="53"/>
        <v>0</v>
      </c>
      <c r="H602" s="74"/>
      <c r="I602" s="74"/>
      <c r="J602" s="74"/>
      <c r="K602" s="74"/>
      <c r="W602" s="74"/>
      <c r="X602" s="74"/>
    </row>
    <row r="603" spans="1:24" ht="15.75" customHeight="1" hidden="1">
      <c r="A603" s="26" t="s">
        <v>29</v>
      </c>
      <c r="B603" s="32"/>
      <c r="C603" s="32"/>
      <c r="D603" s="32"/>
      <c r="E603" s="32"/>
      <c r="F603" s="32" t="s">
        <v>51</v>
      </c>
      <c r="G603" s="74">
        <f>H603+I603+J603+K603</f>
        <v>0</v>
      </c>
      <c r="H603" s="74">
        <f>H386+H246</f>
        <v>0</v>
      </c>
      <c r="I603" s="74">
        <f>I386+I246</f>
        <v>0</v>
      </c>
      <c r="J603" s="74">
        <f>J386+J246</f>
        <v>0</v>
      </c>
      <c r="K603" s="74">
        <f>K386+K246</f>
        <v>0</v>
      </c>
      <c r="W603" s="74">
        <f>W386+W246</f>
        <v>0</v>
      </c>
      <c r="X603" s="74">
        <f>X386+X246</f>
        <v>0</v>
      </c>
    </row>
    <row r="604" spans="1:24" ht="15.75" customHeight="1" hidden="1">
      <c r="A604" s="26" t="s">
        <v>100</v>
      </c>
      <c r="B604" s="32"/>
      <c r="C604" s="32"/>
      <c r="D604" s="32"/>
      <c r="E604" s="32"/>
      <c r="F604" s="32" t="s">
        <v>51</v>
      </c>
      <c r="G604" s="74">
        <f>H604+I604+J604+K604</f>
        <v>0</v>
      </c>
      <c r="H604" s="74">
        <f>H247</f>
        <v>0</v>
      </c>
      <c r="I604" s="74">
        <f>I247</f>
        <v>0</v>
      </c>
      <c r="J604" s="74">
        <f>J247</f>
        <v>0</v>
      </c>
      <c r="K604" s="74">
        <f>K247</f>
        <v>0</v>
      </c>
      <c r="W604" s="74">
        <f>W247</f>
        <v>0</v>
      </c>
      <c r="X604" s="74">
        <f>X247</f>
        <v>0</v>
      </c>
    </row>
    <row r="605" spans="1:24" ht="15.75" customHeight="1" hidden="1">
      <c r="A605" s="26" t="s">
        <v>74</v>
      </c>
      <c r="B605" s="32"/>
      <c r="C605" s="32"/>
      <c r="D605" s="32"/>
      <c r="E605" s="32"/>
      <c r="F605" s="32" t="s">
        <v>51</v>
      </c>
      <c r="G605" s="74">
        <f t="shared" si="53"/>
        <v>0</v>
      </c>
      <c r="H605" s="74"/>
      <c r="I605" s="74"/>
      <c r="J605" s="74"/>
      <c r="K605" s="74"/>
      <c r="W605" s="74"/>
      <c r="X605" s="74"/>
    </row>
    <row r="606" spans="1:24" ht="15.75" customHeight="1">
      <c r="A606" s="26" t="s">
        <v>86</v>
      </c>
      <c r="B606" s="32"/>
      <c r="C606" s="32"/>
      <c r="D606" s="32"/>
      <c r="E606" s="32"/>
      <c r="F606" s="32" t="s">
        <v>51</v>
      </c>
      <c r="G606" s="74">
        <f t="shared" si="53"/>
        <v>8577.5</v>
      </c>
      <c r="H606" s="74">
        <f>H248+H173+H194+H32+H362+H179+H189</f>
        <v>1308.25</v>
      </c>
      <c r="I606" s="74">
        <f>I248+I173+I194+I32+I362+I179+I189</f>
        <v>828.25</v>
      </c>
      <c r="J606" s="74">
        <f>J248+J173+J194+J32+J362+J179+J189</f>
        <v>2832.75</v>
      </c>
      <c r="K606" s="74">
        <f>K248+K173+K194+K32+K362+K179+K189</f>
        <v>3608.25</v>
      </c>
      <c r="W606" s="74">
        <f>W248+W173+W194+W32+W362+W179+W189</f>
        <v>8977.5</v>
      </c>
      <c r="X606" s="74">
        <f>X248+X173+X194+X32+X362+X179+X189</f>
        <v>8977.5</v>
      </c>
    </row>
    <row r="607" spans="1:24" ht="14.25" customHeight="1">
      <c r="A607" s="26" t="s">
        <v>30</v>
      </c>
      <c r="B607" s="32"/>
      <c r="C607" s="32"/>
      <c r="D607" s="32"/>
      <c r="E607" s="32"/>
      <c r="F607" s="32" t="s">
        <v>52</v>
      </c>
      <c r="G607" s="74">
        <f t="shared" si="53"/>
        <v>6435.83</v>
      </c>
      <c r="H607" s="74">
        <f>H609+H610+H611</f>
        <v>2981.6</v>
      </c>
      <c r="I607" s="74">
        <f>I609+I610+I611</f>
        <v>2411.83</v>
      </c>
      <c r="J607" s="74">
        <f>J609+J610+J611</f>
        <v>528.5</v>
      </c>
      <c r="K607" s="74">
        <f>K609+K610+K611</f>
        <v>513.9</v>
      </c>
      <c r="W607" s="74">
        <f>W609+W610+W611</f>
        <v>3341.5</v>
      </c>
      <c r="X607" s="74">
        <f>X609+X610+X611</f>
        <v>3034.2</v>
      </c>
    </row>
    <row r="608" spans="1:24" ht="15.75" customHeight="1">
      <c r="A608" s="26" t="s">
        <v>23</v>
      </c>
      <c r="B608" s="32"/>
      <c r="C608" s="32"/>
      <c r="D608" s="32"/>
      <c r="E608" s="32"/>
      <c r="F608" s="32"/>
      <c r="G608" s="74"/>
      <c r="H608" s="74"/>
      <c r="I608" s="74"/>
      <c r="J608" s="74"/>
      <c r="K608" s="74"/>
      <c r="W608" s="74"/>
      <c r="X608" s="74"/>
    </row>
    <row r="609" spans="1:24" ht="15.75" customHeight="1">
      <c r="A609" s="26" t="s">
        <v>78</v>
      </c>
      <c r="B609" s="32"/>
      <c r="C609" s="32"/>
      <c r="D609" s="32"/>
      <c r="E609" s="32"/>
      <c r="F609" s="32" t="s">
        <v>52</v>
      </c>
      <c r="G609" s="74">
        <f>H609+I609+J609+K609</f>
        <v>6435.83</v>
      </c>
      <c r="H609" s="74">
        <f>H554+H389+H251+H33+H175+H530+H177+H183+H185+H187+H566+H167+H573+H214+H216+H227+H229+H191+H206</f>
        <v>2981.6</v>
      </c>
      <c r="I609" s="74">
        <f>I554+I389+I251+I33+I175+I530+I177+I183+I185+I187+I566+I167+I573+I214+I216+I227+I229+I191+I206</f>
        <v>2411.83</v>
      </c>
      <c r="J609" s="74">
        <f>J554+J389+J251+J33+J175+J530+J177+J183+J185+J187+J566+J167+J573+J214+J216+J227+J229+J191+J206</f>
        <v>528.5</v>
      </c>
      <c r="K609" s="74">
        <f>K554+K389+K251+K33+K175+K530+K177+K183+K185+K187+K566+K167+K573+K214+K216+K227+K229+K191+K206</f>
        <v>513.9</v>
      </c>
      <c r="W609" s="74">
        <f>W554+W389+W251+W33+W175+W530+W177+W183+W185+W187+W566+W167+W573+W214+W216+W227+W229+W191+W206</f>
        <v>3341.5</v>
      </c>
      <c r="X609" s="74">
        <f>X554+X389+X251+X33+X175+X530+X177+X183+X185+X187+X566+X167+X573+X214+X216+X227+X229+X191+X206</f>
        <v>3034.2</v>
      </c>
    </row>
    <row r="610" spans="1:24" ht="15.75" customHeight="1" hidden="1">
      <c r="A610" s="26" t="s">
        <v>76</v>
      </c>
      <c r="B610" s="32"/>
      <c r="C610" s="32"/>
      <c r="D610" s="32"/>
      <c r="E610" s="32"/>
      <c r="F610" s="32" t="s">
        <v>52</v>
      </c>
      <c r="G610" s="74">
        <f>H610+I610+J610+K610</f>
        <v>0</v>
      </c>
      <c r="H610" s="74">
        <f>H252</f>
        <v>0</v>
      </c>
      <c r="I610" s="74">
        <f>I252</f>
        <v>0</v>
      </c>
      <c r="J610" s="74">
        <f>J252</f>
        <v>0</v>
      </c>
      <c r="K610" s="74">
        <f>K252</f>
        <v>0</v>
      </c>
      <c r="W610" s="74">
        <f>W252</f>
        <v>0</v>
      </c>
      <c r="X610" s="74">
        <f>X252</f>
        <v>0</v>
      </c>
    </row>
    <row r="611" spans="1:24" ht="14.25" customHeight="1" hidden="1">
      <c r="A611" s="26" t="s">
        <v>75</v>
      </c>
      <c r="B611" s="32"/>
      <c r="C611" s="32"/>
      <c r="D611" s="32"/>
      <c r="E611" s="32"/>
      <c r="F611" s="32" t="s">
        <v>52</v>
      </c>
      <c r="G611" s="74">
        <f>H611+I611+J611+K611</f>
        <v>0</v>
      </c>
      <c r="H611" s="74"/>
      <c r="I611" s="74"/>
      <c r="J611" s="74"/>
      <c r="K611" s="74"/>
      <c r="W611" s="74"/>
      <c r="X611" s="74"/>
    </row>
    <row r="612" spans="1:24" ht="13.5" customHeight="1">
      <c r="A612" s="25" t="s">
        <v>84</v>
      </c>
      <c r="B612" s="32"/>
      <c r="C612" s="32"/>
      <c r="D612" s="32"/>
      <c r="E612" s="32"/>
      <c r="F612" s="32" t="s">
        <v>83</v>
      </c>
      <c r="G612" s="74">
        <f aca="true" t="shared" si="54" ref="G612:G619">H612+I612+J612+K612</f>
        <v>3124.95</v>
      </c>
      <c r="H612" s="74">
        <f>H162+H518+H222+H524+H520+H220+H255+H522</f>
        <v>209.7</v>
      </c>
      <c r="I612" s="74">
        <f>I162+I518+I222+I524+I520+I220+I255+I522</f>
        <v>209.8</v>
      </c>
      <c r="J612" s="74">
        <f>J162+J518+J222+J524+J520+J220+J255+J522</f>
        <v>2495.64</v>
      </c>
      <c r="K612" s="74">
        <f>K162+K518+K222+K524+K520+K220+K255+K522</f>
        <v>209.81</v>
      </c>
      <c r="W612" s="74">
        <f>W162+W518+W222+W524+W520+W220+W255+W522</f>
        <v>1752.96</v>
      </c>
      <c r="X612" s="74">
        <f>X162+X518+X222+X524+X520+X220+X255+X522</f>
        <v>1752.96</v>
      </c>
    </row>
    <row r="613" spans="1:24" ht="15" customHeight="1">
      <c r="A613" s="25" t="s">
        <v>107</v>
      </c>
      <c r="B613" s="32"/>
      <c r="C613" s="32"/>
      <c r="D613" s="32"/>
      <c r="E613" s="32"/>
      <c r="F613" s="32" t="s">
        <v>54</v>
      </c>
      <c r="G613" s="74">
        <f>H613+I613+J613+K613</f>
        <v>121.7</v>
      </c>
      <c r="H613" s="74">
        <f>H34+H256+H514+H508+H506+H391</f>
        <v>121.7</v>
      </c>
      <c r="I613" s="74">
        <f>I34+I256+I514+I508+I506+I391</f>
        <v>0</v>
      </c>
      <c r="J613" s="74">
        <f>J34+J256+J514+J508+J506+J391</f>
        <v>0</v>
      </c>
      <c r="K613" s="74">
        <f>K34+K256+K514+K508+K506+K391</f>
        <v>0</v>
      </c>
      <c r="W613" s="74">
        <f>W34+W256+W514+W508+W506+W391</f>
        <v>84.64</v>
      </c>
      <c r="X613" s="74">
        <f>X34+X256+X514+X508+X506+X391</f>
        <v>122.94</v>
      </c>
    </row>
    <row r="614" spans="1:24" ht="14.25" customHeight="1">
      <c r="A614" s="26" t="s">
        <v>32</v>
      </c>
      <c r="B614" s="32"/>
      <c r="C614" s="32"/>
      <c r="D614" s="32"/>
      <c r="E614" s="32"/>
      <c r="F614" s="32" t="s">
        <v>95</v>
      </c>
      <c r="G614" s="74">
        <f t="shared" si="54"/>
        <v>383.4</v>
      </c>
      <c r="H614" s="74">
        <f>H502</f>
        <v>95.8</v>
      </c>
      <c r="I614" s="74">
        <f>I502</f>
        <v>95.8</v>
      </c>
      <c r="J614" s="74">
        <f>J502</f>
        <v>95.9</v>
      </c>
      <c r="K614" s="74">
        <f>K502</f>
        <v>95.9</v>
      </c>
      <c r="W614" s="74">
        <f>W502</f>
        <v>383.4</v>
      </c>
      <c r="X614" s="74">
        <f>X502</f>
        <v>383.4</v>
      </c>
    </row>
    <row r="615" spans="1:24" ht="15.75" customHeight="1">
      <c r="A615" s="26" t="s">
        <v>31</v>
      </c>
      <c r="B615" s="32"/>
      <c r="C615" s="32"/>
      <c r="D615" s="32"/>
      <c r="E615" s="32"/>
      <c r="F615" s="32" t="s">
        <v>53</v>
      </c>
      <c r="G615" s="74">
        <f t="shared" si="54"/>
        <v>3587.54</v>
      </c>
      <c r="H615" s="74">
        <f>H574+H555+H533+H528+H392+H257+H35+H367+H567+H583+H510+H512+H196</f>
        <v>632.3299999999999</v>
      </c>
      <c r="I615" s="74">
        <f>I574+I555+I533+I528+I392+I257+I35+I367+I567+I583+I510+I512+I196</f>
        <v>406.42</v>
      </c>
      <c r="J615" s="74">
        <f>J574+J555+J533+J528+J392+J257+J35+J367+J567+J583+J510+J512+J196</f>
        <v>1150.53</v>
      </c>
      <c r="K615" s="74">
        <f>K574+K555+K533+K528+K392+K257+K35+K367+K567+K583+K510+K512+K196</f>
        <v>1398.26</v>
      </c>
      <c r="W615" s="74">
        <f>W574+W555+W533+W528+W392+W257+W35+W367+W567+W583+W510+W512+W196</f>
        <v>3600.64</v>
      </c>
      <c r="X615" s="74">
        <f>X574+X555+X533+X528+X392+X257+X35+X367+X567+X583+X510+X512+X196</f>
        <v>3581.54</v>
      </c>
    </row>
    <row r="616" spans="1:24" ht="12.75" customHeight="1" hidden="1">
      <c r="A616" s="26" t="s">
        <v>86</v>
      </c>
      <c r="B616" s="32"/>
      <c r="C616" s="32"/>
      <c r="D616" s="32"/>
      <c r="E616" s="32"/>
      <c r="F616" s="32" t="s">
        <v>71</v>
      </c>
      <c r="G616" s="74">
        <f t="shared" si="54"/>
        <v>0</v>
      </c>
      <c r="H616" s="74">
        <f aca="true" t="shared" si="55" ref="H616:K617">H253</f>
        <v>0</v>
      </c>
      <c r="I616" s="74">
        <f t="shared" si="55"/>
        <v>0</v>
      </c>
      <c r="J616" s="74">
        <f t="shared" si="55"/>
        <v>0</v>
      </c>
      <c r="K616" s="74">
        <f t="shared" si="55"/>
        <v>0</v>
      </c>
      <c r="W616" s="74">
        <f>W253</f>
        <v>0</v>
      </c>
      <c r="X616" s="74">
        <f>X253</f>
        <v>0</v>
      </c>
    </row>
    <row r="617" spans="1:24" ht="14.25" customHeight="1" hidden="1">
      <c r="A617" s="26" t="s">
        <v>86</v>
      </c>
      <c r="B617" s="32"/>
      <c r="C617" s="32"/>
      <c r="D617" s="32"/>
      <c r="E617" s="32"/>
      <c r="F617" s="32" t="s">
        <v>67</v>
      </c>
      <c r="G617" s="74">
        <f t="shared" si="54"/>
        <v>-7.194245199571014E-14</v>
      </c>
      <c r="H617" s="74">
        <f t="shared" si="55"/>
        <v>0</v>
      </c>
      <c r="I617" s="74">
        <f t="shared" si="55"/>
        <v>0</v>
      </c>
      <c r="J617" s="74">
        <f t="shared" si="55"/>
        <v>0</v>
      </c>
      <c r="K617" s="74">
        <f t="shared" si="55"/>
        <v>-7.194245199571014E-14</v>
      </c>
      <c r="W617" s="74">
        <f>W254</f>
        <v>0</v>
      </c>
      <c r="X617" s="74">
        <f>X254</f>
        <v>-7.194245199571014E-14</v>
      </c>
    </row>
    <row r="618" spans="1:24" ht="13.5" customHeight="1">
      <c r="A618" s="25" t="s">
        <v>33</v>
      </c>
      <c r="B618" s="32"/>
      <c r="C618" s="32"/>
      <c r="D618" s="32"/>
      <c r="E618" s="32"/>
      <c r="F618" s="32" t="s">
        <v>55</v>
      </c>
      <c r="G618" s="74">
        <f t="shared" si="54"/>
        <v>7828.900000000001</v>
      </c>
      <c r="H618" s="74">
        <f>H619+H623</f>
        <v>163.3</v>
      </c>
      <c r="I618" s="74">
        <f>I619+I623</f>
        <v>3694.5</v>
      </c>
      <c r="J618" s="74">
        <f>J619+J623</f>
        <v>221.8</v>
      </c>
      <c r="K618" s="74">
        <f>K619+K623</f>
        <v>3749.3</v>
      </c>
      <c r="W618" s="74">
        <f>W619+W623</f>
        <v>856.2</v>
      </c>
      <c r="X618" s="74">
        <f>X623+X619</f>
        <v>856.2</v>
      </c>
    </row>
    <row r="619" spans="1:24" ht="13.5" customHeight="1">
      <c r="A619" s="25" t="s">
        <v>34</v>
      </c>
      <c r="B619" s="32"/>
      <c r="C619" s="32"/>
      <c r="D619" s="32"/>
      <c r="E619" s="32"/>
      <c r="F619" s="32" t="s">
        <v>56</v>
      </c>
      <c r="G619" s="74">
        <f t="shared" si="54"/>
        <v>7172.7</v>
      </c>
      <c r="H619" s="74">
        <f>H621</f>
        <v>37.7</v>
      </c>
      <c r="I619" s="74">
        <f>I621</f>
        <v>3517.7</v>
      </c>
      <c r="J619" s="74">
        <f>J621</f>
        <v>45</v>
      </c>
      <c r="K619" s="74">
        <f>K621</f>
        <v>3572.3</v>
      </c>
      <c r="W619" s="74">
        <f>W621</f>
        <v>200</v>
      </c>
      <c r="X619" s="74">
        <f>X621</f>
        <v>200</v>
      </c>
    </row>
    <row r="620" spans="1:24" ht="12.75" customHeight="1">
      <c r="A620" s="25" t="s">
        <v>23</v>
      </c>
      <c r="B620" s="32"/>
      <c r="C620" s="32"/>
      <c r="D620" s="32"/>
      <c r="E620" s="32"/>
      <c r="F620" s="32"/>
      <c r="G620" s="74"/>
      <c r="H620" s="74"/>
      <c r="I620" s="74"/>
      <c r="J620" s="74"/>
      <c r="K620" s="74"/>
      <c r="W620" s="74"/>
      <c r="X620" s="74"/>
    </row>
    <row r="621" spans="1:24" ht="12.75" customHeight="1">
      <c r="A621" s="25" t="s">
        <v>87</v>
      </c>
      <c r="B621" s="32"/>
      <c r="C621" s="32"/>
      <c r="D621" s="32"/>
      <c r="E621" s="32"/>
      <c r="F621" s="32" t="s">
        <v>56</v>
      </c>
      <c r="G621" s="74">
        <f>H621+I621+J621+K621</f>
        <v>7172.7</v>
      </c>
      <c r="H621" s="74">
        <f>H394+H259+H37+H576+H578+H534+H201+H556+H558+H569</f>
        <v>37.7</v>
      </c>
      <c r="I621" s="74">
        <f>I394+I259+I37+I576+I578+I534+I201+I556+I558+I569</f>
        <v>3517.7</v>
      </c>
      <c r="J621" s="74">
        <f>J394+J259+J37+J576+J578+J534+J201+J556+J558+J569</f>
        <v>45</v>
      </c>
      <c r="K621" s="74">
        <f>K394+K259+K37+K576+K578+K534+K201+K556+K558+K569</f>
        <v>3572.3</v>
      </c>
      <c r="W621" s="74">
        <f>W394+W259+W37+W576+W578+W534+W201+W556+W558+W569</f>
        <v>200</v>
      </c>
      <c r="X621" s="74">
        <f>X394+X259+X37+X576+X578+X534+X201+X556+X558+X569</f>
        <v>200</v>
      </c>
    </row>
    <row r="622" spans="1:24" ht="14.25" customHeight="1" hidden="1">
      <c r="A622" s="25" t="s">
        <v>86</v>
      </c>
      <c r="B622" s="32"/>
      <c r="C622" s="32"/>
      <c r="D622" s="32"/>
      <c r="E622" s="32"/>
      <c r="F622" s="32" t="s">
        <v>56</v>
      </c>
      <c r="G622" s="74"/>
      <c r="H622" s="74"/>
      <c r="I622" s="74"/>
      <c r="J622" s="74"/>
      <c r="K622" s="74"/>
      <c r="W622" s="74"/>
      <c r="X622" s="74"/>
    </row>
    <row r="623" spans="1:24" ht="13.5" customHeight="1">
      <c r="A623" s="25" t="s">
        <v>35</v>
      </c>
      <c r="B623" s="32"/>
      <c r="C623" s="32"/>
      <c r="D623" s="32"/>
      <c r="E623" s="32"/>
      <c r="F623" s="32" t="s">
        <v>57</v>
      </c>
      <c r="G623" s="74">
        <f>H623+I623+J623+K623</f>
        <v>656.2</v>
      </c>
      <c r="H623" s="74">
        <f>H625+H626</f>
        <v>125.6</v>
      </c>
      <c r="I623" s="74">
        <f>I625+I626</f>
        <v>176.8</v>
      </c>
      <c r="J623" s="74">
        <f>J625+J626</f>
        <v>176.8</v>
      </c>
      <c r="K623" s="74">
        <f>K625+K626</f>
        <v>177</v>
      </c>
      <c r="W623" s="74">
        <f>W625+W626</f>
        <v>656.2</v>
      </c>
      <c r="X623" s="74">
        <f>X625+X626</f>
        <v>656.2</v>
      </c>
    </row>
    <row r="624" spans="1:24" ht="12.75" customHeight="1">
      <c r="A624" s="25" t="s">
        <v>23</v>
      </c>
      <c r="B624" s="32"/>
      <c r="C624" s="32"/>
      <c r="D624" s="32"/>
      <c r="E624" s="32"/>
      <c r="F624" s="32"/>
      <c r="G624" s="74"/>
      <c r="H624" s="74"/>
      <c r="I624" s="74"/>
      <c r="J624" s="74"/>
      <c r="K624" s="74"/>
      <c r="W624" s="74"/>
      <c r="X624" s="74"/>
    </row>
    <row r="625" spans="1:24" ht="14.25" customHeight="1">
      <c r="A625" s="25" t="s">
        <v>36</v>
      </c>
      <c r="B625" s="32"/>
      <c r="C625" s="32"/>
      <c r="D625" s="32"/>
      <c r="E625" s="32"/>
      <c r="F625" s="32" t="s">
        <v>57</v>
      </c>
      <c r="G625" s="74">
        <f>H625+I625+J625+K625</f>
        <v>250.8</v>
      </c>
      <c r="H625" s="74">
        <f>H40</f>
        <v>40.8</v>
      </c>
      <c r="I625" s="74">
        <f>I40</f>
        <v>70</v>
      </c>
      <c r="J625" s="74">
        <f>J40</f>
        <v>70</v>
      </c>
      <c r="K625" s="74">
        <f>K40</f>
        <v>70</v>
      </c>
      <c r="W625" s="74">
        <f>W40</f>
        <v>250.8</v>
      </c>
      <c r="X625" s="74">
        <f>X40</f>
        <v>250.8</v>
      </c>
    </row>
    <row r="626" spans="1:24" ht="15" customHeight="1">
      <c r="A626" s="25" t="s">
        <v>37</v>
      </c>
      <c r="B626" s="32"/>
      <c r="C626" s="32"/>
      <c r="D626" s="32"/>
      <c r="E626" s="32"/>
      <c r="F626" s="32" t="s">
        <v>57</v>
      </c>
      <c r="G626" s="74">
        <f>H626+I626+J626+K626</f>
        <v>405.4</v>
      </c>
      <c r="H626" s="74">
        <f>H41+H155+H160+H393+H557</f>
        <v>84.8</v>
      </c>
      <c r="I626" s="74">
        <f>I41+I155+I160+I393+I557</f>
        <v>106.8</v>
      </c>
      <c r="J626" s="74">
        <f>J41+J155+J160+J393+J557</f>
        <v>106.8</v>
      </c>
      <c r="K626" s="74">
        <f>K41+K155+K160+K393+K557</f>
        <v>107</v>
      </c>
      <c r="W626" s="74">
        <f>W41+W155+W160+W393+W557</f>
        <v>405.4</v>
      </c>
      <c r="X626" s="74">
        <f>X41+X155+X160+X393+X557</f>
        <v>405.4</v>
      </c>
    </row>
    <row r="627" spans="1:24" ht="10.5" customHeight="1" hidden="1">
      <c r="A627" s="25"/>
      <c r="B627" s="32"/>
      <c r="C627" s="32"/>
      <c r="D627" s="32"/>
      <c r="E627" s="32"/>
      <c r="F627" s="32"/>
      <c r="G627" s="74"/>
      <c r="H627" s="74"/>
      <c r="I627" s="74"/>
      <c r="J627" s="74"/>
      <c r="K627" s="74"/>
      <c r="W627" s="74"/>
      <c r="X627" s="74"/>
    </row>
    <row r="628" spans="1:24" ht="17.25" customHeight="1">
      <c r="A628" s="30" t="s">
        <v>9</v>
      </c>
      <c r="B628" s="32"/>
      <c r="C628" s="32"/>
      <c r="D628" s="32"/>
      <c r="E628" s="32"/>
      <c r="F628" s="32"/>
      <c r="G628" s="75">
        <f>H628+I628+J628+K628</f>
        <v>75190.7</v>
      </c>
      <c r="H628" s="75">
        <f>H18+H146+H157+H163+H230+H360+H363+H369+H500+H535+H582</f>
        <v>18588.7</v>
      </c>
      <c r="I628" s="75">
        <f>I18+I146+I157+I163+I230+I360+I363+I369+I500+I535+I582</f>
        <v>17041.799999999996</v>
      </c>
      <c r="J628" s="75">
        <f>J18+J146+J157+J163+J230+J360+J363+J369+J500+J535+J582</f>
        <v>17689.2</v>
      </c>
      <c r="K628" s="75">
        <f>K18+K146+K157+K163+K230+K360+K363+K369+K500+K535+K582</f>
        <v>21871</v>
      </c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75">
        <f>W18+W146+W157+W163+W230+W360+W363+W369+W500+W535+W582</f>
        <v>66245</v>
      </c>
      <c r="X628" s="75">
        <f>X18+X146+X157+X163+X230+X360+X363+X369+X500+X535+X582</f>
        <v>65224</v>
      </c>
    </row>
  </sheetData>
  <sheetProtection/>
  <mergeCells count="19">
    <mergeCell ref="A8:K8"/>
    <mergeCell ref="A9:K9"/>
    <mergeCell ref="D14:D15"/>
    <mergeCell ref="A10:K10"/>
    <mergeCell ref="F14:F15"/>
    <mergeCell ref="G13:X13"/>
    <mergeCell ref="X14:X15"/>
    <mergeCell ref="W14:W15"/>
    <mergeCell ref="H14:K14"/>
    <mergeCell ref="E14:E15"/>
    <mergeCell ref="G14:G15"/>
    <mergeCell ref="I2:K2"/>
    <mergeCell ref="I3:K3"/>
    <mergeCell ref="A6:K6"/>
    <mergeCell ref="A7:K7"/>
    <mergeCell ref="C14:C15"/>
    <mergeCell ref="A13:A15"/>
    <mergeCell ref="B14:B15"/>
    <mergeCell ref="B13:F13"/>
  </mergeCells>
  <printOptions horizontalCentered="1"/>
  <pageMargins left="0.2362204724409449" right="0.2362204724409449" top="0.3937007874015748" bottom="0.2755905511811024" header="0.15748031496062992" footer="0.1968503937007874"/>
  <pageSetup fitToHeight="0"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erofeeva</dc:creator>
  <cp:keywords/>
  <dc:description/>
  <cp:lastModifiedBy>User</cp:lastModifiedBy>
  <cp:lastPrinted>2019-06-18T06:51:03Z</cp:lastPrinted>
  <dcterms:created xsi:type="dcterms:W3CDTF">2007-12-05T06:56:16Z</dcterms:created>
  <dcterms:modified xsi:type="dcterms:W3CDTF">2020-02-05T08:28:33Z</dcterms:modified>
  <cp:category/>
  <cp:version/>
  <cp:contentType/>
  <cp:contentStatus/>
</cp:coreProperties>
</file>