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08" windowWidth="11340" windowHeight="8532" activeTab="0"/>
  </bookViews>
  <sheets>
    <sheet name="1" sheetId="1" r:id="rId1"/>
    <sheet name="2" sheetId="2" r:id="rId2"/>
    <sheet name="3" sheetId="3" r:id="rId3"/>
  </sheets>
  <definedNames>
    <definedName name="_xlnm.Print_Titles" localSheetId="0">'1'!$10:$10</definedName>
    <definedName name="_xlnm.Print_Area" localSheetId="1">'2'!$A$1:$M$46</definedName>
    <definedName name="_xlnm.Print_Area" localSheetId="2">'3'!$A$1:$E$46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это старая глава была в 2017 г</t>
        </r>
      </text>
    </comment>
  </commentList>
</comments>
</file>

<file path=xl/sharedStrings.xml><?xml version="1.0" encoding="utf-8"?>
<sst xmlns="http://schemas.openxmlformats.org/spreadsheetml/2006/main" count="809" uniqueCount="330">
  <si>
    <t xml:space="preserve">к Порядку составления и </t>
  </si>
  <si>
    <t>ведения кассового плана</t>
  </si>
  <si>
    <t>исполнения областного бюджета,</t>
  </si>
  <si>
    <t>утвержденного Приказом</t>
  </si>
  <si>
    <t>Наименование показателя планирования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</si>
  <si>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</si>
  <si>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</si>
  <si>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</si>
  <si>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</si>
  <si>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</si>
  <si>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</si>
  <si>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</si>
  <si>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</si>
  <si>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</si>
  <si>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</si>
  <si>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</si>
  <si>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</si>
  <si>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</si>
  <si>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</si>
  <si>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</si>
  <si>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</si>
  <si>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</si>
  <si>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</si>
  <si>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</si>
  <si>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</si>
  <si>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</si>
  <si>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</si>
  <si>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</si>
  <si>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</si>
  <si>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</si>
  <si>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</si>
  <si>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</si>
  <si>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</si>
  <si>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</si>
  <si>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</si>
  <si>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</si>
  <si>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</si>
  <si>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</si>
  <si>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</si>
  <si>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</si>
  <si>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</si>
  <si>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</si>
  <si>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</si>
  <si>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</si>
  <si>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</si>
  <si>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</si>
  <si>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</si>
  <si>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</si>
  <si>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</si>
  <si>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</si>
  <si>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</si>
  <si>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</si>
  <si>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</si>
  <si>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Прогноз поступления средств областного бюджета</t>
  </si>
  <si>
    <t>Приложение 2</t>
  </si>
  <si>
    <t>Поступления средств из федерального бюджета</t>
  </si>
  <si>
    <t>Расходы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</si>
  <si>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</si>
  <si>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</si>
  <si>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</si>
  <si>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</si>
  <si>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</si>
  <si>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</si>
  <si>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</si>
  <si>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</si>
  <si>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</si>
  <si>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Раздел I. Доходы областного бюджета </t>
    </r>
    <r>
      <rPr>
        <b/>
        <vertAlign val="superscript"/>
        <sz val="10"/>
        <rFont val="Arial"/>
        <family val="2"/>
      </rPr>
      <t>3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</si>
  <si>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</si>
  <si>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</si>
  <si>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</si>
  <si>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</si>
  <si>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</si>
  <si>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</si>
  <si>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департамента финансов, бюджетной</t>
  </si>
  <si>
    <t>и налоговой политики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</si>
  <si>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</si>
  <si>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</si>
  <si>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</si>
  <si>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</si>
  <si>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</si>
  <si>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</si>
  <si>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</si>
  <si>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</si>
  <si>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</si>
  <si>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t>Графики выплат
по источникам финансирования дефицита областного бюджета</t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</si>
  <si>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</si>
  <si>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</si>
  <si>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</si>
  <si>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от 17.12.2007 № 91</t>
  </si>
  <si>
    <t>решение о бюджете на год</t>
  </si>
  <si>
    <t xml:space="preserve">Заработная плата </t>
  </si>
  <si>
    <t>211</t>
  </si>
  <si>
    <t>Прочие выплаты</t>
  </si>
  <si>
    <t>212</t>
  </si>
  <si>
    <t>Начисления на оптату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</si>
  <si>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</si>
  <si>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</si>
  <si>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</si>
  <si>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</si>
  <si>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</si>
  <si>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</si>
  <si>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</si>
  <si>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Услуги по содержанию помещения</t>
  </si>
  <si>
    <t>225</t>
  </si>
  <si>
    <t>Прочие услуги</t>
  </si>
  <si>
    <t>226</t>
  </si>
  <si>
    <t>Прочие расходы</t>
  </si>
  <si>
    <t>290</t>
  </si>
  <si>
    <t>Увеличение ст-ти основных средств</t>
  </si>
  <si>
    <t>310</t>
  </si>
  <si>
    <t>Увеличение ст-ти мат- запасов</t>
  </si>
  <si>
    <t>340</t>
  </si>
  <si>
    <t>Оплата труда и начисления на оплату труда</t>
  </si>
  <si>
    <t>210</t>
  </si>
  <si>
    <t>Поступление нефинансовых активов</t>
  </si>
  <si>
    <t>300</t>
  </si>
  <si>
    <t>хозяйственные расходы</t>
  </si>
  <si>
    <t>оплата отопления</t>
  </si>
  <si>
    <t>оплата электроэнергии</t>
  </si>
  <si>
    <t>оплата водоснабжения</t>
  </si>
  <si>
    <t>223 1</t>
  </si>
  <si>
    <t>223 2</t>
  </si>
  <si>
    <t>223 3</t>
  </si>
  <si>
    <t>340 4</t>
  </si>
  <si>
    <t>340 3</t>
  </si>
  <si>
    <t>Администрация</t>
  </si>
  <si>
    <t>Глава муниципального образования</t>
  </si>
  <si>
    <t>Резервный фонд администрации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</si>
  <si>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</si>
  <si>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</t>
  </si>
  <si>
    <t>251</t>
  </si>
  <si>
    <t>ИТОГО РАСХОДОВ</t>
  </si>
  <si>
    <t>Проведение мероприятий для детей и молодежи</t>
  </si>
  <si>
    <t>прочие расходы</t>
  </si>
  <si>
    <t>242</t>
  </si>
  <si>
    <t>Коммунальное хозяйство</t>
  </si>
  <si>
    <t>уличное освещение</t>
  </si>
  <si>
    <t>содержание помещения</t>
  </si>
  <si>
    <t>прочие текушие расходы</t>
  </si>
  <si>
    <t>ГСМ</t>
  </si>
  <si>
    <t>ремонт здания</t>
  </si>
  <si>
    <t>Пенсионное обеспечение</t>
  </si>
  <si>
    <t>доплата к пенсии муниципальным служащим</t>
  </si>
  <si>
    <t>263</t>
  </si>
  <si>
    <t>Содержание аппарата СНД</t>
  </si>
  <si>
    <t>поступление нефинансовых активов</t>
  </si>
  <si>
    <t>увеличение стоимости материальых запасов</t>
  </si>
  <si>
    <t>прочие услуги</t>
  </si>
  <si>
    <t>Национальная экономика</t>
  </si>
  <si>
    <t>241/210</t>
  </si>
  <si>
    <t>241/211</t>
  </si>
  <si>
    <t>241/212</t>
  </si>
  <si>
    <t>241/213</t>
  </si>
  <si>
    <t>241/221</t>
  </si>
  <si>
    <t>241/222</t>
  </si>
  <si>
    <t>241/223</t>
  </si>
  <si>
    <t>241/225</t>
  </si>
  <si>
    <t>241/226</t>
  </si>
  <si>
    <t>241/290</t>
  </si>
  <si>
    <t>241/300</t>
  </si>
  <si>
    <t>241/310</t>
  </si>
  <si>
    <t>241/340</t>
  </si>
  <si>
    <t>Жилищное хозяйство</t>
  </si>
  <si>
    <t>Другие вопросы в области ЖКХ</t>
  </si>
  <si>
    <t>Зав.бюджетным отделом                                М.В.Бузина</t>
  </si>
  <si>
    <t>Вид расхода</t>
  </si>
  <si>
    <t>Доп.эк. статья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</si>
  <si>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МО г.Карабаново</t>
  </si>
  <si>
    <t>Расходы на технические паспорта и технические планы объектов недвижимости МО г.Карабаново</t>
  </si>
  <si>
    <t>Расходы на осуществление государственного кадастрового учета земельных участков</t>
  </si>
  <si>
    <t>МП "Приведение в нормативное состояние улично-дорожной сети и объектов благоустройства МО города Карабаново в 2014-2018 годах"</t>
  </si>
  <si>
    <t>Национальная безопасность и правоохранительная деятельность</t>
  </si>
  <si>
    <t>Иные межбюджетные трансферты</t>
  </si>
  <si>
    <t>Межбюджетные трансферты на передачу части полномочий на объединение финансовых средств, для создания аварийно-спасательного формирования в МО Александровский район</t>
  </si>
  <si>
    <t>Расходы на обеспечение первичных мер пожарной безопасности, противопожарной защиты населённого пункта на территории муниципального образования</t>
  </si>
  <si>
    <t>Расходы на ремонт дорожного покрытия и объектов благоустройства улично-дорожной сети МО г.Карабаново</t>
  </si>
  <si>
    <t>Услуги по содержанию имущества</t>
  </si>
  <si>
    <t>Расходы на технический надзор за осуществлением ремонта дорожного покрытия и объектов благоустройства улично-дорожной сети МО г.Карабаново</t>
  </si>
  <si>
    <t>Расходы на содержание автомобильных дорог МО г.Карабаново и включающих в себя механическую и ручную очистку дорожного полотна и обочин, посыпку дорог пескосоляными смесями и противогололёдными реагентами, полив проезжей части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</si>
  <si>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инженерной и транспортной инфраструктуры земельных участков, передаваемых многодетным семьям</t>
  </si>
  <si>
    <t>межбюджетные трансферты</t>
  </si>
  <si>
    <t>Субсидии некоммерческим организациям на обеспечение мероприятий по ремонту многоквартирных домов</t>
  </si>
  <si>
    <t>Безвозмездные и безвозвратные перечисления</t>
  </si>
  <si>
    <t>Благоустройство</t>
  </si>
  <si>
    <t>Основное мероприятие "Расходы на содержание скверов, 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тротуаров"</t>
  </si>
  <si>
    <t>Основное мероприятие "Расходы на озеленение (посадку зелёных насаждений) в городе Карабаново</t>
  </si>
  <si>
    <t>МП" Программа благоустройства территории города Карабаново на 2014-2018 годы"</t>
  </si>
  <si>
    <t>Основное мероприятие "Расходы на выплаты по оплате труда работников МКУ "Дирекция жизнеобеспечения населения " города Кароабаново</t>
  </si>
  <si>
    <t>000</t>
  </si>
  <si>
    <t>Основное мероприятие " Расходы на оплату услуг по содержанию здания и имущества"</t>
  </si>
  <si>
    <t>Основное мероприятие " Расходы на оплату прочих работ, услуг, которые не относятся к услугам по содержанию имущества"</t>
  </si>
  <si>
    <t>Основное мероприятие " Расходы на оплату налогов, сборов, штрафов и пеней"</t>
  </si>
  <si>
    <t>Основное мероприятие " Расходы на увеличение стоимости основных средств</t>
  </si>
  <si>
    <t>Основное мероприятие " Расходы на приобретение горюче-смазочных материалов"</t>
  </si>
  <si>
    <t>Основное мероприятие "Хозяйственные расходы"</t>
  </si>
  <si>
    <t>340.4</t>
  </si>
  <si>
    <t>Увеличение ст-ти материальных запасов</t>
  </si>
  <si>
    <t>Основное мероприятие "Расходы на приобретение для городской библиотеки техники, мебели в читальный зал"</t>
  </si>
  <si>
    <t>увеличение стоимости основных средств</t>
  </si>
  <si>
    <t>Основное мероприятие "Расходы на комплектование книжного фонда"</t>
  </si>
  <si>
    <t>Основное мероприятие "Расходы на ремонт фасада здания Дома культуры"</t>
  </si>
  <si>
    <t>услуги по содержанию помещения</t>
  </si>
  <si>
    <t>241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</si>
  <si>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</si>
  <si>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МП "Формирование доступной среды жизнедеятельности для инвалидов в городе Карабаново на 2014-2018 годы"</t>
  </si>
  <si>
    <t>МП "Социальная политика города Карабаново на 2012-2018 годы"</t>
  </si>
  <si>
    <t>Основное мероприятие "Расходы на проведение городских мероприятий, праздников, фестивалей, выставок и конкурсов"</t>
  </si>
  <si>
    <t>Основное мероприятие "Расходы на проведение городских спортивных мероприятий, соревнований, турниров, гонок, эстафет"</t>
  </si>
  <si>
    <t>Основное мероприятие "Расходы на приобретение спортивного инвентаря"</t>
  </si>
  <si>
    <t>Основное мероприятие "Расходы на оборудование в микрорайонах города Карабаново детских спортивных площадок"</t>
  </si>
  <si>
    <t>Расходы на обеспечение функций органов местного самоуправления на управление муниципального имуществом</t>
  </si>
  <si>
    <t>коммунальные услуги</t>
  </si>
  <si>
    <t>услуги по содержанию имущества</t>
  </si>
  <si>
    <t>МП "Программа модернизации уличного освещения в городе Карабаново на 2014-2017 годы"</t>
  </si>
  <si>
    <t>Основное мероприятие "Расходы на оснащение и модернизацию уличного освещения"</t>
  </si>
  <si>
    <t>Основное мероприятие "Расходы на обустройство площадок для сбора мусора"</t>
  </si>
  <si>
    <t>Основное мероприятие "Расходы на ремонт  здания библиотеки"</t>
  </si>
  <si>
    <t>Основное мероприятие "Расходы на проведение городских мероприятий для инвалидов"</t>
  </si>
  <si>
    <t>Основное мероприятие "Расходы на выделение мест для стоянки автотранспортных средств инвалидов с установкой опознавательных знаков и дорожной разметки"</t>
  </si>
  <si>
    <t>Основное мероприятие "Расходы на установку ограждения вокруг стадиона"</t>
  </si>
  <si>
    <t>Охрана окружающей среды</t>
  </si>
  <si>
    <t>Расходы на обеспечение функций органов местного самоуправления по вопросам охраны окружающей среды</t>
  </si>
  <si>
    <t>Основное мероприятие "Расходы на уплату членских взносов и иных платежей"</t>
  </si>
  <si>
    <t xml:space="preserve">прочие услуги </t>
  </si>
  <si>
    <t>Расходы на устройство барьерного ограждения вдоль дороги местного значения</t>
  </si>
  <si>
    <t>Транспортные расходы по доставке строительных материалов в целях проведения ремонта дорог в границах муниципального образования</t>
  </si>
  <si>
    <t>транспортные услуги</t>
  </si>
  <si>
    <t>Оценка уязвимости транспортной инфраструктуры муниципального образования город Карабаново</t>
  </si>
  <si>
    <t>Разработка планов обеспечения транспортной безопасности объектов транспортной инфраструктуры муниципального образования город Карабаново</t>
  </si>
  <si>
    <t>Изготовление проекта организации дорожного движения муниципального образования город Карабаново</t>
  </si>
  <si>
    <t>Основное мероприятие "Расходы на отлов бродячих животных в границах муниципального образования город Карабаново"</t>
  </si>
  <si>
    <t>"Субсидия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области"</t>
  </si>
  <si>
    <t>Расходы на капитальный ремонт жилого фонда, находящегося в муниципальной собственности поселения</t>
  </si>
  <si>
    <t>Взносы на капитальный ремонт жилого фонда, находящегося в муниципальной собственности поселения, в Фонд капитального ремонта многоквартирных домов Владимирской области</t>
  </si>
  <si>
    <t>Расходы на содержание муниципального  жилого фонда</t>
  </si>
  <si>
    <t>Основное мероприятие "Транспортные расходы"</t>
  </si>
  <si>
    <t>транспортные расходы</t>
  </si>
  <si>
    <t>Основное мероприятие "Расходы на питание воспитанников во время соревнований, проходящих за пределами города"</t>
  </si>
  <si>
    <t>Расходы на исполнение судебных актов Российской Федерации</t>
  </si>
  <si>
    <t>"Расходы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 (доля муниципального образования)"</t>
  </si>
  <si>
    <t>Территориальная избирательная комиссия Александровского района</t>
  </si>
  <si>
    <t>Выборы в представительные органы</t>
  </si>
  <si>
    <t>Основное мероприятие "Расходы на спиливание и кронирование деревьев в лесопарковых и придорожных зонах"</t>
  </si>
  <si>
    <t>Социальное обеспечение населения</t>
  </si>
  <si>
    <t>262</t>
  </si>
  <si>
    <t>Расходы на материальноеобеспечение предоставления дополнительных мер социальной поддержки граждан,проживающих в одноэтажных жилых домах с централизованным отоплением города Карабаново</t>
  </si>
  <si>
    <t>Расходы на обустройство пешеходных переходов на автомобильные дороги г.Карабаново</t>
  </si>
  <si>
    <t>Расходы на исполнение функций учредителя</t>
  </si>
  <si>
    <t>Расходы на приобретение и установку новогодней атрибутики</t>
  </si>
  <si>
    <t>увеличение ст-ти основных средств</t>
  </si>
  <si>
    <t>исполнение судебных актов РФ</t>
  </si>
  <si>
    <t>Расходы на ямочный ремонт автомобильных дорог муниципального образоания город Карабаново</t>
  </si>
  <si>
    <t>МП "Программа комплексного развития транспортной инфраструктуры МО г.Карабаново на 2017-2030 годы</t>
  </si>
  <si>
    <t>Расходы на повышение оплаты труда работников бюджетной сферы в соответствии с Указом Президента РФ от 07.05.12г. №597, №7761 от 01.07.2012г. доля областного бюджета</t>
  </si>
  <si>
    <t>Расходы на повышение оплаты труда работников бюджетной сферы города Карабаново в соответствии с Указом Президента РФ от 07.05.12г. №597, №7761 от 01.07.2012г. доля местного бюджета</t>
  </si>
  <si>
    <t xml:space="preserve"> " Расходы на оснощение и модернизацию уличного освещения"</t>
  </si>
  <si>
    <t>услуги по содержанию</t>
  </si>
  <si>
    <t xml:space="preserve"> " Расходы на техническое обслуживание уличного освещения"</t>
  </si>
  <si>
    <t>244</t>
  </si>
  <si>
    <t>МП "Энергосбережение и повышение энергетической эффективности на территории муниципального образования "Городское поселение Карабаново" Владимирской области на 2010-2020 годы"</t>
  </si>
  <si>
    <t xml:space="preserve"> " Возмещение затрат на установку индивидуальных приборов учета"</t>
  </si>
  <si>
    <t>Социальные выплаты</t>
  </si>
  <si>
    <t>321</t>
  </si>
  <si>
    <t>МП "Формирование современной городской среды на 2018 - 2022 г.г."</t>
  </si>
  <si>
    <t>Расходы на "Технический надзор за мероприятиями по благоустройству дворовых территорий многоквартирных домов"</t>
  </si>
  <si>
    <t>Расходы на благоустройство дворовых территорий многоквартирных домов за средств субсидии из областного бюджета"</t>
  </si>
  <si>
    <t>240</t>
  </si>
  <si>
    <t>Расходы на преобретение аттракционов для городского парка"</t>
  </si>
  <si>
    <t>Основное мероприятие "Расходы на доведение заработной платы работникам МКУ "Дирекция жизнеобеспечения населения" город Карабаново</t>
  </si>
  <si>
    <t>Основное мероприятие "Субсидии на финансовое обеспечение муниципального задания на оказание муниципальных услуг (выполнение работ) МБУК Дом культуры города Карабаново" до МРОТ"</t>
  </si>
  <si>
    <t>Основное мероприятие "Субсидия из областного бюджета на переселение граждан из аварийного жилищного фонда"</t>
  </si>
  <si>
    <t>Основное мероприятие "Субсидии  на финансовое обеспечение муниципального задания на оказание муниципальных услуг(выполнение работ) на доведение заработной платы работников МБУ Цент физической культуры и спорта детей и юношества "Карабановец" до МРОТ</t>
  </si>
  <si>
    <t>Резерв для участия в региональных программах</t>
  </si>
  <si>
    <t>Основное мероприятие "Расходы на материальное обеспечение изготовление проекта организации дорожного движения муниципального образования город Карабаново"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</si>
  <si>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областного бюджета)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</si>
  <si>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софинансирования местного бюджета)</t>
  </si>
  <si>
    <t>Расходы на изготовление проектно-сметной документации по приобретению и установке фильтра обеззараживания сточных вод"</t>
  </si>
  <si>
    <t>МП "Программа модернизации систем водоснабжения и водоотведения города Карабаново на 2017 - 2019 годы"</t>
  </si>
  <si>
    <t>"Расходы на проведение ремонта и обеспечение благоустройства дворовых территорий многоквартирных домов"</t>
  </si>
  <si>
    <t>Расходы на текущий ремонт дороги по улице "переулок Чистопольный"</t>
  </si>
  <si>
    <t>Р0113</t>
  </si>
  <si>
    <t>Р0801</t>
  </si>
  <si>
    <t>Р1102</t>
  </si>
  <si>
    <t>МП "Благоустройство территории города Карабаново на 2014-2018 годы"</t>
  </si>
  <si>
    <t>Расходы на приобретение автомобильной техники</t>
  </si>
  <si>
    <t>Расходы на материальное обеспечение мероприятий по проведению оценки жилого фонда</t>
  </si>
  <si>
    <t>МП " Переселение граждан из аварийного жилищного фонда в муниципальном образовании город Карабаново Александровского района Владимирской области на 2018-2022 годы""</t>
  </si>
  <si>
    <t>социальные выплаты</t>
  </si>
  <si>
    <t>"Расходы на материальное оеспечение мероприятий по подключению к сетям энергоснажения земельных участков,передаваемых многодетным семьям"</t>
  </si>
  <si>
    <t>Субсидии на иные цели,не связанные с финансовым выполнением муниципального задания МБУК "Карабановская городская библиотека имени Ю.Н. Худова"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</si>
  <si>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</t>
  </si>
  <si>
    <t>Расходы на софинансирование проектов модернизации по концессионным соглашениям в сфере тепло-, водоснабжения, водоотведения, очистки  сточных вод и обращения с твердыми комунальными отходами (субсидия из областного бюджета)</t>
  </si>
  <si>
    <t>Расходы на несение горизонтальной разметки  на автомобильной  дороге г.Карабаново"</t>
  </si>
  <si>
    <t>Расходы по доставке строительных материалов в целях проведения ремонта дорог в границах муниципального образования</t>
  </si>
  <si>
    <t>Р0409</t>
  </si>
  <si>
    <t>Р1101</t>
  </si>
  <si>
    <t>Расходы на изготовление пректно-сметной документации по ремонту городских канализационных очистных сооружений</t>
  </si>
  <si>
    <t>Расходы на материальное обеспечение изготовления проектной документации для строительных модульных котельных</t>
  </si>
  <si>
    <t>Расходы на благоустройство дворовых территорий многоквартирных домов "</t>
  </si>
  <si>
    <t>Кассовый план исполнения  бюджета города Карабаново на __2019____ год</t>
  </si>
  <si>
    <t>(по состоянию на "_01___" _01_______________ 2019__г.)</t>
  </si>
  <si>
    <t>Муниципальная программа "Обеспечение территории МО г.Карабаново документами территориального планирования  на 2019-2021 г</t>
  </si>
  <si>
    <t>Расходы на подготовку документации по межеванию территориальных зон города и территориальному планированию (доля муниципального образования)</t>
  </si>
  <si>
    <t>Расходы на подготовку документации по межеванию территориальных зон города и территориальному планированию (субсидия из областного бюджета)</t>
  </si>
  <si>
    <t>Расходы на проведение ремонта и обеспечение благоустройства дворовых территорий многоквартирных домов"(доля муниципального образования)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</si>
  <si>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молодые семьи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</si>
  <si>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многодетные семьи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</si>
  <si>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"Карабановец"(за счет средств местного бюджета)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</si>
  <si>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 (за счет средств районого бюджета)</t>
  </si>
  <si>
    <t>МП "Проведение оценки муниципального имущеста города карабаново и оценки аренды муниципального имущества города карабаново на 2018-2021 годы"</t>
  </si>
  <si>
    <t>МП "Оформление права собственности на муниципальное имущесвто МО город Карабаново на 2014-2021 годы"</t>
  </si>
  <si>
    <t>МП "Осуществление комплекса мероприятий по оказанию услуг в сфере коммунального  и хозяйственного обеспечения деятельности МКУ "ДЖН" города Карабаново на 2018-2021 годы"</t>
  </si>
  <si>
    <t>МП "Обеспечение пожарной безопасности в городе Карабаново на период 2019-2021 годов"</t>
  </si>
  <si>
    <t>МП "Содержание автомобильных дорог местного значения МО город Карабаново на 2018-2021 годы"</t>
  </si>
  <si>
    <t>МП " Программа модернизации уличного освещения в городе Карабаново на 2017-2019 годы"</t>
  </si>
  <si>
    <t>МП "Благоустройство и реконструкция кладбища в городе Карабаново на 2018-2021 годы"</t>
  </si>
  <si>
    <t>МП" Программа благоустройства территории города Карабаново на 2014-2021 годы"</t>
  </si>
  <si>
    <t>МП "Детская и молодёжная политика города Карабаново на 2018-2021 годы"</t>
  </si>
  <si>
    <t>МП "Сохранение и развитие культуры города Карабаново на 2018 -2021 годы"</t>
  </si>
  <si>
    <t>МП "Развитие физической культуры и спорта города Карабаново на 2018-2021 годы"</t>
  </si>
  <si>
    <t>МП "Содержание скверов, аллей, площадей, пешеходных зон в городе Карабаново на 2018-2021 годы"</t>
  </si>
  <si>
    <t>Субсидия на финансовое обеспечение дорожной деятельности в отношении автомобильных дорог общего пользования местного значения в рамках поручения Губернатора Владимирской области</t>
  </si>
  <si>
    <t xml:space="preserve"> Расходы на очистку территории кладбища</t>
  </si>
  <si>
    <t>Расходы на установку дорожных знаков</t>
  </si>
  <si>
    <t>Расходы на выплаты по оплате труда работников МКУ "Дирекция жизнеобеспечения населения " города Кароабаново</t>
  </si>
  <si>
    <t xml:space="preserve"> Расходы на проведение городских мероприятий, праздников, фестивалей, выставок и конкурсов для детей и молодёжи</t>
  </si>
  <si>
    <t>Расходы на проведение городских мероприятий, праздников, фестивалей, выставок и конкурсов</t>
  </si>
  <si>
    <t>Субсидии на финансовое обеспечение муниципального задания на оказание муниципальных услуг (выполнение работ) МБУК Дом культуры города Карабаново</t>
  </si>
  <si>
    <t>Субсидии на финансовое обеспечение муниципального задания на оказание муниципальных услуг (выполнение работ) МБУК " Карабановская городская библиотека имени Ю.Н.Худова</t>
  </si>
  <si>
    <t>Субсидии на финансовое обеспечение муниципального задания на оказание муниципальных услуг (выполнение работ) МБУ Центр физической культуры и спорта детей и юношества" Карабановец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</si>
</sst>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[$-FC19]d\ mmmm\ yyyy\ &quot;г.&quot;"/>
    <numFmt numFmtId="181" formatCode="0.000000"/>
    <numFmt numFmtId="182" formatCode="0.0000000"/>
    <numFmt numFmtId="183" formatCode="0.00000000"/>
    <numFmt numFmtId="184" formatCode="_-* #,##0.00000_р_._-;\-* #,##0.00000_р_._-;_-* &quot;-&quot;?????_р_._-;_-@_-"/>
  </numFmts>
  <fonts count="72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Arial Cyr"/>
      <family val="0"/>
    </font>
    <font>
      <sz val="9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179" fontId="11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8" fillId="33" borderId="10" xfId="0" applyNumberFormat="1" applyFont="1" applyFill="1" applyBorder="1" applyAlignment="1">
      <alignment/>
    </xf>
    <xf numFmtId="2" fontId="16" fillId="33" borderId="10" xfId="0" applyNumberFormat="1" applyFont="1" applyFill="1" applyBorder="1" applyAlignment="1">
      <alignment/>
    </xf>
    <xf numFmtId="2" fontId="69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179" fontId="10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1" fontId="16" fillId="33" borderId="10" xfId="0" applyNumberFormat="1" applyFont="1" applyFill="1" applyBorder="1" applyAlignment="1">
      <alignment/>
    </xf>
    <xf numFmtId="1" fontId="67" fillId="33" borderId="10" xfId="0" applyNumberFormat="1" applyFont="1" applyFill="1" applyBorder="1" applyAlignment="1">
      <alignment/>
    </xf>
    <xf numFmtId="1" fontId="70" fillId="33" borderId="10" xfId="0" applyNumberFormat="1" applyFont="1" applyFill="1" applyBorder="1" applyAlignment="1">
      <alignment/>
    </xf>
    <xf numFmtId="1" fontId="69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178" fontId="10" fillId="33" borderId="10" xfId="0" applyNumberFormat="1" applyFont="1" applyFill="1" applyBorder="1" applyAlignment="1">
      <alignment/>
    </xf>
    <xf numFmtId="1" fontId="68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81" fontId="10" fillId="33" borderId="10" xfId="0" applyNumberFormat="1" applyFont="1" applyFill="1" applyBorder="1" applyAlignment="1">
      <alignment/>
    </xf>
    <xf numFmtId="179" fontId="11" fillId="33" borderId="10" xfId="0" applyNumberFormat="1" applyFont="1" applyFill="1" applyBorder="1" applyAlignment="1">
      <alignment horizontal="center"/>
    </xf>
    <xf numFmtId="179" fontId="1" fillId="33" borderId="0" xfId="0" applyNumberFormat="1" applyFont="1" applyFill="1" applyAlignment="1">
      <alignment/>
    </xf>
    <xf numFmtId="0" fontId="2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/>
    </xf>
    <xf numFmtId="49" fontId="24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17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2" fontId="68" fillId="33" borderId="10" xfId="0" applyNumberFormat="1" applyFont="1" applyFill="1" applyBorder="1" applyAlignment="1">
      <alignment vertical="center"/>
    </xf>
    <xf numFmtId="1" fontId="67" fillId="33" borderId="10" xfId="0" applyNumberFormat="1" applyFont="1" applyFill="1" applyBorder="1" applyAlignment="1">
      <alignment vertical="center"/>
    </xf>
    <xf numFmtId="1" fontId="68" fillId="33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left" vertical="top" wrapText="1"/>
    </xf>
    <xf numFmtId="0" fontId="29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wrapText="1"/>
    </xf>
    <xf numFmtId="43" fontId="11" fillId="33" borderId="10" xfId="60" applyFont="1" applyFill="1" applyBorder="1" applyAlignment="1">
      <alignment/>
    </xf>
    <xf numFmtId="43" fontId="1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2" fontId="12" fillId="33" borderId="10" xfId="0" applyNumberFormat="1" applyFont="1" applyFill="1" applyBorder="1" applyAlignment="1">
      <alignment horizontal="right"/>
    </xf>
    <xf numFmtId="2" fontId="70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vertical="center"/>
    </xf>
    <xf numFmtId="2" fontId="67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/>
    </xf>
    <xf numFmtId="49" fontId="10" fillId="33" borderId="11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left"/>
    </xf>
    <xf numFmtId="49" fontId="10" fillId="33" borderId="22" xfId="0" applyNumberFormat="1" applyFont="1" applyFill="1" applyBorder="1" applyAlignment="1">
      <alignment horizontal="left"/>
    </xf>
    <xf numFmtId="49" fontId="10" fillId="33" borderId="24" xfId="0" applyNumberFormat="1" applyFont="1" applyFill="1" applyBorder="1" applyAlignment="1">
      <alignment horizontal="left"/>
    </xf>
    <xf numFmtId="49" fontId="10" fillId="33" borderId="22" xfId="0" applyNumberFormat="1" applyFont="1" applyFill="1" applyBorder="1" applyAlignment="1">
      <alignment horizontal="left"/>
    </xf>
    <xf numFmtId="49" fontId="18" fillId="33" borderId="24" xfId="0" applyNumberFormat="1" applyFont="1" applyFill="1" applyBorder="1" applyAlignment="1">
      <alignment horizontal="left"/>
    </xf>
    <xf numFmtId="49" fontId="18" fillId="33" borderId="22" xfId="0" applyNumberFormat="1" applyFont="1" applyFill="1" applyBorder="1" applyAlignment="1">
      <alignment horizontal="left"/>
    </xf>
    <xf numFmtId="49" fontId="12" fillId="33" borderId="24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left"/>
    </xf>
    <xf numFmtId="49" fontId="17" fillId="33" borderId="22" xfId="0" applyNumberFormat="1" applyFont="1" applyFill="1" applyBorder="1" applyAlignment="1">
      <alignment horizontal="left"/>
    </xf>
    <xf numFmtId="49" fontId="10" fillId="33" borderId="24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left"/>
    </xf>
    <xf numFmtId="49" fontId="11" fillId="33" borderId="22" xfId="0" applyNumberFormat="1" applyFont="1" applyFill="1" applyBorder="1" applyAlignment="1">
      <alignment horizontal="left"/>
    </xf>
    <xf numFmtId="49" fontId="11" fillId="33" borderId="24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49" fontId="10" fillId="33" borderId="24" xfId="0" applyNumberFormat="1" applyFont="1" applyFill="1" applyBorder="1" applyAlignment="1">
      <alignment horizontal="left" vertical="center"/>
    </xf>
    <xf numFmtId="49" fontId="10" fillId="33" borderId="2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7"/>
  <sheetViews>
    <sheetView tabSelected="1" zoomScalePageLayoutView="80" workbookViewId="0" topLeftCell="B1">
      <selection activeCell="K415" sqref="K415"/>
    </sheetView>
  </sheetViews>
  <sheetFormatPr defaultColWidth="9.125" defaultRowHeight="12.75"/>
  <cols>
    <col min="1" max="1" width="9.125" style="1" hidden="1" customWidth="1"/>
    <col min="2" max="2" width="28.00390625" style="36" customWidth="1"/>
    <col min="3" max="3" width="5.00390625" style="36" customWidth="1"/>
    <col min="4" max="4" width="5.50390625" style="36" customWidth="1"/>
    <col min="5" max="5" width="1.875" style="36" customWidth="1"/>
    <col min="6" max="6" width="7.50390625" style="36" customWidth="1"/>
    <col min="7" max="7" width="8.625" style="36" customWidth="1"/>
    <col min="8" max="8" width="7.625" style="36" customWidth="1"/>
    <col min="9" max="9" width="7.75390625" style="36" customWidth="1"/>
    <col min="10" max="10" width="7.625" style="36" customWidth="1"/>
    <col min="11" max="11" width="7.125" style="36" customWidth="1"/>
    <col min="12" max="12" width="8.25390625" style="36" customWidth="1"/>
    <col min="13" max="13" width="7.50390625" style="36" customWidth="1"/>
    <col min="14" max="14" width="8.875" style="36" customWidth="1"/>
    <col min="15" max="15" width="7.50390625" style="36" customWidth="1"/>
    <col min="16" max="16" width="8.625" style="36" customWidth="1"/>
    <col min="17" max="17" width="8.50390625" style="36" customWidth="1"/>
    <col min="18" max="18" width="9.00390625" style="36" customWidth="1"/>
    <col min="19" max="19" width="8.50390625" style="36" customWidth="1"/>
    <col min="20" max="20" width="7.875" style="36" customWidth="1"/>
    <col min="21" max="21" width="8.875" style="36" customWidth="1"/>
    <col min="22" max="22" width="9.00390625" style="36" customWidth="1"/>
    <col min="23" max="23" width="9.125" style="36" customWidth="1"/>
    <col min="24" max="24" width="9.50390625" style="36" bestFit="1" customWidth="1"/>
    <col min="25" max="25" width="11.50390625" style="36" bestFit="1" customWidth="1"/>
    <col min="26" max="26" width="9.125" style="36" customWidth="1"/>
    <col min="27" max="16384" width="9.125" style="1" customWidth="1"/>
  </cols>
  <sheetData>
    <row r="1" ht="12" customHeight="1">
      <c r="Q1" s="77"/>
    </row>
    <row r="2" spans="5:18" ht="18">
      <c r="E2" s="127" t="s">
        <v>299</v>
      </c>
      <c r="R2" s="78"/>
    </row>
    <row r="3" spans="6:22" ht="18.75" thickBot="1">
      <c r="F3" s="79" t="s">
        <v>300</v>
      </c>
      <c r="V3" s="80" t="s">
        <v>39</v>
      </c>
    </row>
    <row r="4" spans="21:22" ht="12.75">
      <c r="U4" s="81" t="s">
        <v>36</v>
      </c>
      <c r="V4" s="82"/>
    </row>
    <row r="5" spans="2:22" ht="12.75">
      <c r="B5" s="36" t="s">
        <v>40</v>
      </c>
      <c r="U5" s="81" t="s">
        <v>37</v>
      </c>
      <c r="V5" s="83"/>
    </row>
    <row r="6" spans="2:22" ht="13.5" thickBot="1">
      <c r="B6" s="36" t="s">
        <v>41</v>
      </c>
      <c r="U6" s="81" t="s">
        <v>38</v>
      </c>
      <c r="V6" s="84"/>
    </row>
    <row r="7" ht="7.5" customHeight="1" thickBot="1"/>
    <row r="8" spans="2:26" s="4" customFormat="1" ht="12.75" customHeight="1">
      <c r="B8" s="154" t="s">
        <v>4</v>
      </c>
      <c r="C8" s="150" t="s">
        <v>165</v>
      </c>
      <c r="D8" s="150" t="s">
        <v>166</v>
      </c>
      <c r="E8" s="145" t="s">
        <v>89</v>
      </c>
      <c r="F8" s="145" t="s">
        <v>75</v>
      </c>
      <c r="G8" s="147" t="s">
        <v>5</v>
      </c>
      <c r="H8" s="147"/>
      <c r="I8" s="147"/>
      <c r="J8" s="148" t="s">
        <v>9</v>
      </c>
      <c r="K8" s="147" t="s">
        <v>42</v>
      </c>
      <c r="L8" s="147"/>
      <c r="M8" s="147"/>
      <c r="N8" s="148" t="s">
        <v>45</v>
      </c>
      <c r="O8" s="147" t="s">
        <v>43</v>
      </c>
      <c r="P8" s="147"/>
      <c r="Q8" s="147"/>
      <c r="R8" s="148" t="s">
        <v>46</v>
      </c>
      <c r="S8" s="147" t="s">
        <v>44</v>
      </c>
      <c r="T8" s="147"/>
      <c r="U8" s="147"/>
      <c r="V8" s="152" t="s">
        <v>47</v>
      </c>
      <c r="W8" s="121"/>
      <c r="X8" s="121"/>
      <c r="Y8" s="121"/>
      <c r="Z8" s="121"/>
    </row>
    <row r="9" spans="2:22" ht="60">
      <c r="B9" s="155"/>
      <c r="C9" s="151"/>
      <c r="D9" s="151"/>
      <c r="E9" s="146"/>
      <c r="F9" s="146"/>
      <c r="G9" s="85" t="s">
        <v>6</v>
      </c>
      <c r="H9" s="85" t="s">
        <v>7</v>
      </c>
      <c r="I9" s="85" t="s">
        <v>8</v>
      </c>
      <c r="J9" s="149"/>
      <c r="K9" s="85" t="s">
        <v>10</v>
      </c>
      <c r="L9" s="85" t="s">
        <v>11</v>
      </c>
      <c r="M9" s="85" t="s">
        <v>12</v>
      </c>
      <c r="N9" s="149"/>
      <c r="O9" s="85" t="s">
        <v>13</v>
      </c>
      <c r="P9" s="85" t="s">
        <v>14</v>
      </c>
      <c r="Q9" s="85" t="s">
        <v>15</v>
      </c>
      <c r="R9" s="149"/>
      <c r="S9" s="85" t="s">
        <v>16</v>
      </c>
      <c r="T9" s="85" t="s">
        <v>17</v>
      </c>
      <c r="U9" s="85" t="s">
        <v>18</v>
      </c>
      <c r="V9" s="153"/>
    </row>
    <row r="10" spans="2:26" s="3" customFormat="1" ht="13.5" thickBot="1">
      <c r="B10" s="37">
        <v>1</v>
      </c>
      <c r="C10" s="80">
        <v>2</v>
      </c>
      <c r="D10" s="80">
        <f>C10+1</f>
        <v>3</v>
      </c>
      <c r="E10" s="80">
        <f>D10+1</f>
        <v>4</v>
      </c>
      <c r="F10" s="80">
        <v>5</v>
      </c>
      <c r="G10" s="80">
        <f aca="true" t="shared" si="0" ref="G10:V10">F10+1</f>
        <v>6</v>
      </c>
      <c r="H10" s="80">
        <f t="shared" si="0"/>
        <v>7</v>
      </c>
      <c r="I10" s="80">
        <f t="shared" si="0"/>
        <v>8</v>
      </c>
      <c r="J10" s="80">
        <f t="shared" si="0"/>
        <v>9</v>
      </c>
      <c r="K10" s="80">
        <f t="shared" si="0"/>
        <v>10</v>
      </c>
      <c r="L10" s="80">
        <f t="shared" si="0"/>
        <v>11</v>
      </c>
      <c r="M10" s="80">
        <f t="shared" si="0"/>
        <v>12</v>
      </c>
      <c r="N10" s="80">
        <f t="shared" si="0"/>
        <v>13</v>
      </c>
      <c r="O10" s="80">
        <f t="shared" si="0"/>
        <v>14</v>
      </c>
      <c r="P10" s="80">
        <f t="shared" si="0"/>
        <v>15</v>
      </c>
      <c r="Q10" s="80">
        <f t="shared" si="0"/>
        <v>16</v>
      </c>
      <c r="R10" s="80">
        <f t="shared" si="0"/>
        <v>17</v>
      </c>
      <c r="S10" s="80">
        <f t="shared" si="0"/>
        <v>18</v>
      </c>
      <c r="T10" s="80">
        <f t="shared" si="0"/>
        <v>19</v>
      </c>
      <c r="U10" s="86">
        <f t="shared" si="0"/>
        <v>20</v>
      </c>
      <c r="V10" s="86">
        <f t="shared" si="0"/>
        <v>21</v>
      </c>
      <c r="W10" s="122"/>
      <c r="X10" s="122"/>
      <c r="Y10" s="122"/>
      <c r="Z10" s="122"/>
    </row>
    <row r="11" spans="2:22" ht="13.5" customHeight="1">
      <c r="B11" s="38" t="s">
        <v>19</v>
      </c>
      <c r="C11" s="38"/>
      <c r="D11" s="128" t="s">
        <v>26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2:22" ht="12.75">
      <c r="B12" s="39" t="s">
        <v>20</v>
      </c>
      <c r="C12" s="39"/>
      <c r="D12" s="49" t="s">
        <v>27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2:22" ht="6" customHeight="1">
      <c r="B13" s="39"/>
      <c r="C13" s="39"/>
      <c r="D13" s="49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2:22" ht="23.25" customHeight="1">
      <c r="B14" s="39" t="s">
        <v>21</v>
      </c>
      <c r="C14" s="39"/>
      <c r="D14" s="49" t="s">
        <v>28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2:22" ht="22.5" customHeight="1">
      <c r="B15" s="39" t="s">
        <v>55</v>
      </c>
      <c r="C15" s="39"/>
      <c r="D15" s="49" t="s">
        <v>29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2:22" ht="12.75">
      <c r="B16" s="39" t="s">
        <v>56</v>
      </c>
      <c r="C16" s="39"/>
      <c r="D16" s="49" t="s">
        <v>30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2:24" ht="12" customHeight="1">
      <c r="B17" s="40" t="s">
        <v>125</v>
      </c>
      <c r="C17" s="40">
        <v>100</v>
      </c>
      <c r="D17" s="101"/>
      <c r="E17" s="88"/>
      <c r="F17" s="50">
        <f>J17+N17+R17+V17</f>
        <v>2335.6</v>
      </c>
      <c r="G17" s="50">
        <f>G18+G22+G26+G27+G28+G29</f>
        <v>121.19999999999999</v>
      </c>
      <c r="H17" s="50">
        <f>H18+H22+H26+H27+H28+H29</f>
        <v>173.5</v>
      </c>
      <c r="I17" s="50">
        <f>I18+I22+I26+I27+I28+I29</f>
        <v>173.5</v>
      </c>
      <c r="J17" s="50">
        <f>SUM(G17:I17)</f>
        <v>468.2</v>
      </c>
      <c r="K17" s="50">
        <f>K18+K22+K26+K27+K28+K29</f>
        <v>193.5</v>
      </c>
      <c r="L17" s="50">
        <f>L18+L22+L26+L27+L28+L29</f>
        <v>195.2</v>
      </c>
      <c r="M17" s="50">
        <f>M18+M22+M26+M27+M28+M29</f>
        <v>195.2</v>
      </c>
      <c r="N17" s="50">
        <f>K17+L17+M17</f>
        <v>583.9</v>
      </c>
      <c r="O17" s="50">
        <f>O18+O22+O26+O27+O28+O29</f>
        <v>193.5</v>
      </c>
      <c r="P17" s="50">
        <f>P18+P22+P26+P27+P28+P29</f>
        <v>195.2</v>
      </c>
      <c r="Q17" s="50">
        <f>Q18+Q22+Q26+Q27+Q28+Q29</f>
        <v>195.2</v>
      </c>
      <c r="R17" s="50">
        <f>O17+P17+Q17</f>
        <v>583.9</v>
      </c>
      <c r="S17" s="50">
        <f>S18+S22+S26+S27+S28+S29</f>
        <v>232</v>
      </c>
      <c r="T17" s="50">
        <f>T18+T22+T26+T27+T28+T29</f>
        <v>233.8</v>
      </c>
      <c r="U17" s="50">
        <f>U18+U22+U26+U27+U28+U29</f>
        <v>233.8</v>
      </c>
      <c r="V17" s="50">
        <f>S17+T17+U17</f>
        <v>699.6</v>
      </c>
      <c r="X17" s="91"/>
    </row>
    <row r="18" spans="2:24" ht="23.25" customHeight="1">
      <c r="B18" s="39" t="s">
        <v>112</v>
      </c>
      <c r="C18" s="39">
        <v>120</v>
      </c>
      <c r="D18" s="49" t="s">
        <v>113</v>
      </c>
      <c r="E18" s="47"/>
      <c r="F18" s="51">
        <f>J18+N18+R18+V18</f>
        <v>1277.1999999999998</v>
      </c>
      <c r="G18" s="52">
        <f>SUM(G19:G21)</f>
        <v>66.3</v>
      </c>
      <c r="H18" s="52">
        <f>SUM(H19:H21)</f>
        <v>94.6</v>
      </c>
      <c r="I18" s="52">
        <f>SUM(I19:I21)</f>
        <v>94.6</v>
      </c>
      <c r="J18" s="51">
        <f>SUM(G18:I18)</f>
        <v>255.49999999999997</v>
      </c>
      <c r="K18" s="52">
        <f>SUM(K19:K21)</f>
        <v>105.9</v>
      </c>
      <c r="L18" s="52">
        <f aca="true" t="shared" si="1" ref="L18:U18">SUM(L19:L21)</f>
        <v>106.7</v>
      </c>
      <c r="M18" s="52">
        <f t="shared" si="1"/>
        <v>106.7</v>
      </c>
      <c r="N18" s="51">
        <f t="shared" si="1"/>
        <v>319.29999999999995</v>
      </c>
      <c r="O18" s="52">
        <f t="shared" si="1"/>
        <v>105.9</v>
      </c>
      <c r="P18" s="52">
        <f t="shared" si="1"/>
        <v>106.7</v>
      </c>
      <c r="Q18" s="52">
        <f t="shared" si="1"/>
        <v>106.7</v>
      </c>
      <c r="R18" s="51">
        <f t="shared" si="1"/>
        <v>319.29999999999995</v>
      </c>
      <c r="S18" s="52">
        <f t="shared" si="1"/>
        <v>127.1</v>
      </c>
      <c r="T18" s="52">
        <f t="shared" si="1"/>
        <v>128</v>
      </c>
      <c r="U18" s="52">
        <f t="shared" si="1"/>
        <v>128</v>
      </c>
      <c r="V18" s="51">
        <f>SUM(V19:V21)</f>
        <v>383.09999999999997</v>
      </c>
      <c r="X18" s="91"/>
    </row>
    <row r="19" spans="2:22" ht="12.75">
      <c r="B19" s="39" t="s">
        <v>90</v>
      </c>
      <c r="C19" s="39">
        <v>121</v>
      </c>
      <c r="D19" s="49" t="s">
        <v>91</v>
      </c>
      <c r="E19" s="47"/>
      <c r="F19" s="51">
        <f>J19+N19+R19+V19</f>
        <v>980.9999999999999</v>
      </c>
      <c r="G19" s="52">
        <v>51</v>
      </c>
      <c r="H19" s="52">
        <v>72.6</v>
      </c>
      <c r="I19" s="52">
        <v>72.6</v>
      </c>
      <c r="J19" s="51">
        <f>SUM(G19:I19)</f>
        <v>196.2</v>
      </c>
      <c r="K19" s="52">
        <v>81.2</v>
      </c>
      <c r="L19" s="52">
        <v>82</v>
      </c>
      <c r="M19" s="52">
        <v>82</v>
      </c>
      <c r="N19" s="51">
        <f>SUM(K19:M19)</f>
        <v>245.2</v>
      </c>
      <c r="O19" s="52">
        <v>81.2</v>
      </c>
      <c r="P19" s="52">
        <v>82</v>
      </c>
      <c r="Q19" s="52">
        <v>82</v>
      </c>
      <c r="R19" s="51">
        <f>SUM(O19:Q19)</f>
        <v>245.2</v>
      </c>
      <c r="S19" s="52">
        <v>98</v>
      </c>
      <c r="T19" s="52">
        <v>98.2</v>
      </c>
      <c r="U19" s="52">
        <v>98.2</v>
      </c>
      <c r="V19" s="51">
        <f>SUM(S19:U19)</f>
        <v>294.4</v>
      </c>
    </row>
    <row r="20" spans="2:22" ht="12.75" hidden="1">
      <c r="B20" s="39" t="s">
        <v>92</v>
      </c>
      <c r="C20" s="39"/>
      <c r="D20" s="49" t="s">
        <v>93</v>
      </c>
      <c r="E20" s="47"/>
      <c r="F20" s="51">
        <f>N20+R20+V20</f>
        <v>0</v>
      </c>
      <c r="G20" s="52"/>
      <c r="H20" s="52"/>
      <c r="I20" s="52"/>
      <c r="J20" s="51">
        <v>0</v>
      </c>
      <c r="K20" s="52"/>
      <c r="L20" s="52"/>
      <c r="M20" s="52"/>
      <c r="N20" s="51">
        <f>SUM(K20:M20)</f>
        <v>0</v>
      </c>
      <c r="O20" s="52"/>
      <c r="P20" s="52"/>
      <c r="Q20" s="52"/>
      <c r="R20" s="51">
        <f>SUM(O20:Q20)</f>
        <v>0</v>
      </c>
      <c r="S20" s="52"/>
      <c r="T20" s="52"/>
      <c r="U20" s="52"/>
      <c r="V20" s="51">
        <f>SUM(S20:U20)</f>
        <v>0</v>
      </c>
    </row>
    <row r="21" spans="2:22" ht="13.5" customHeight="1">
      <c r="B21" s="39" t="s">
        <v>94</v>
      </c>
      <c r="C21" s="39">
        <v>121</v>
      </c>
      <c r="D21" s="49" t="s">
        <v>95</v>
      </c>
      <c r="E21" s="47"/>
      <c r="F21" s="51">
        <f aca="true" t="shared" si="2" ref="F21:F32">J21+N21+R21+V21</f>
        <v>296.2</v>
      </c>
      <c r="G21" s="52">
        <v>15.3</v>
      </c>
      <c r="H21" s="52">
        <v>22</v>
      </c>
      <c r="I21" s="52">
        <v>22</v>
      </c>
      <c r="J21" s="51">
        <f>SUM(G21:I21)</f>
        <v>59.3</v>
      </c>
      <c r="K21" s="52">
        <v>24.7</v>
      </c>
      <c r="L21" s="52">
        <v>24.7</v>
      </c>
      <c r="M21" s="52">
        <v>24.7</v>
      </c>
      <c r="N21" s="51">
        <f>SUM(K21:M21)</f>
        <v>74.1</v>
      </c>
      <c r="O21" s="52">
        <v>24.7</v>
      </c>
      <c r="P21" s="52">
        <v>24.7</v>
      </c>
      <c r="Q21" s="52">
        <v>24.7</v>
      </c>
      <c r="R21" s="51">
        <f>SUM(O21:Q21)</f>
        <v>74.1</v>
      </c>
      <c r="S21" s="52">
        <v>29.1</v>
      </c>
      <c r="T21" s="52">
        <v>29.8</v>
      </c>
      <c r="U21" s="52">
        <v>29.8</v>
      </c>
      <c r="V21" s="51">
        <f>SUM(S21:U21)</f>
        <v>88.7</v>
      </c>
    </row>
    <row r="22" spans="2:22" ht="20.25" customHeight="1">
      <c r="B22" s="39" t="s">
        <v>112</v>
      </c>
      <c r="C22" s="39">
        <v>120</v>
      </c>
      <c r="D22" s="49" t="s">
        <v>113</v>
      </c>
      <c r="E22" s="47"/>
      <c r="F22" s="51">
        <f>J22+N22+R22+V22</f>
        <v>1038.4</v>
      </c>
      <c r="G22" s="52">
        <f>G23+G25</f>
        <v>53.9</v>
      </c>
      <c r="H22" s="52">
        <f>H23+H25</f>
        <v>76.9</v>
      </c>
      <c r="I22" s="52">
        <f>I23+I25</f>
        <v>76.9</v>
      </c>
      <c r="J22" s="51">
        <f>SUM(G22:I22)</f>
        <v>207.70000000000002</v>
      </c>
      <c r="K22" s="52">
        <f aca="true" t="shared" si="3" ref="K22:V22">SUM(K23:K25)</f>
        <v>86.60000000000001</v>
      </c>
      <c r="L22" s="52">
        <f t="shared" si="3"/>
        <v>86.5</v>
      </c>
      <c r="M22" s="52">
        <f t="shared" si="3"/>
        <v>86.5</v>
      </c>
      <c r="N22" s="51">
        <f t="shared" si="3"/>
        <v>259.6</v>
      </c>
      <c r="O22" s="52">
        <f t="shared" si="3"/>
        <v>86.60000000000001</v>
      </c>
      <c r="P22" s="52">
        <f t="shared" si="3"/>
        <v>86.5</v>
      </c>
      <c r="Q22" s="52">
        <f t="shared" si="3"/>
        <v>86.5</v>
      </c>
      <c r="R22" s="51">
        <f t="shared" si="3"/>
        <v>259.6</v>
      </c>
      <c r="S22" s="52">
        <f t="shared" si="3"/>
        <v>103.9</v>
      </c>
      <c r="T22" s="52">
        <f t="shared" si="3"/>
        <v>103.8</v>
      </c>
      <c r="U22" s="52">
        <f t="shared" si="3"/>
        <v>103.8</v>
      </c>
      <c r="V22" s="51">
        <f t="shared" si="3"/>
        <v>311.5</v>
      </c>
    </row>
    <row r="23" spans="2:22" ht="13.5" customHeight="1">
      <c r="B23" s="39" t="s">
        <v>90</v>
      </c>
      <c r="C23" s="39">
        <v>121</v>
      </c>
      <c r="D23" s="49" t="s">
        <v>91</v>
      </c>
      <c r="E23" s="47"/>
      <c r="F23" s="51">
        <f>J23+N23+R23+V23</f>
        <v>797.5999999999999</v>
      </c>
      <c r="G23" s="52">
        <v>41.5</v>
      </c>
      <c r="H23" s="52">
        <v>59</v>
      </c>
      <c r="I23" s="52">
        <v>59</v>
      </c>
      <c r="J23" s="51">
        <f>SUM(G23:I23)</f>
        <v>159.5</v>
      </c>
      <c r="K23" s="52">
        <v>66.4</v>
      </c>
      <c r="L23" s="52">
        <v>66.5</v>
      </c>
      <c r="M23" s="52">
        <v>66.5</v>
      </c>
      <c r="N23" s="51">
        <f>SUM(K23:M23)</f>
        <v>199.4</v>
      </c>
      <c r="O23" s="52">
        <v>66.4</v>
      </c>
      <c r="P23" s="52">
        <v>66.5</v>
      </c>
      <c r="Q23" s="52">
        <v>66.5</v>
      </c>
      <c r="R23" s="51">
        <f>SUM(O23:Q23)</f>
        <v>199.4</v>
      </c>
      <c r="S23" s="52">
        <v>79.7</v>
      </c>
      <c r="T23" s="52">
        <v>79.8</v>
      </c>
      <c r="U23" s="52">
        <v>79.8</v>
      </c>
      <c r="V23" s="51">
        <f>SUM(S23:U23)</f>
        <v>239.3</v>
      </c>
    </row>
    <row r="24" spans="2:22" ht="13.5" customHeight="1" hidden="1">
      <c r="B24" s="39" t="s">
        <v>92</v>
      </c>
      <c r="C24" s="39"/>
      <c r="D24" s="49" t="s">
        <v>93</v>
      </c>
      <c r="E24" s="47"/>
      <c r="F24" s="51">
        <f>N24+R24+V24</f>
        <v>0</v>
      </c>
      <c r="G24" s="52"/>
      <c r="H24" s="52"/>
      <c r="I24" s="52"/>
      <c r="J24" s="51">
        <f>SUM(G24:I24)</f>
        <v>0</v>
      </c>
      <c r="K24" s="52"/>
      <c r="L24" s="52"/>
      <c r="M24" s="52"/>
      <c r="N24" s="51">
        <f>SUM(K24:M24)</f>
        <v>0</v>
      </c>
      <c r="O24" s="51"/>
      <c r="P24" s="51"/>
      <c r="Q24" s="51"/>
      <c r="R24" s="51">
        <f>SUM(O24:Q24)</f>
        <v>0</v>
      </c>
      <c r="S24" s="51"/>
      <c r="T24" s="51"/>
      <c r="U24" s="51"/>
      <c r="V24" s="51">
        <f>SUM(S24:U24)</f>
        <v>0</v>
      </c>
    </row>
    <row r="25" spans="2:22" ht="13.5" customHeight="1">
      <c r="B25" s="39" t="s">
        <v>94</v>
      </c>
      <c r="C25" s="39">
        <v>121</v>
      </c>
      <c r="D25" s="49" t="s">
        <v>95</v>
      </c>
      <c r="E25" s="47"/>
      <c r="F25" s="51">
        <f>J25+N25+R25+V25</f>
        <v>240.8</v>
      </c>
      <c r="G25" s="52">
        <v>12.4</v>
      </c>
      <c r="H25" s="52">
        <v>17.9</v>
      </c>
      <c r="I25" s="52">
        <v>17.9</v>
      </c>
      <c r="J25" s="51">
        <f>SUM(G25:I25)</f>
        <v>48.199999999999996</v>
      </c>
      <c r="K25" s="52">
        <v>20.2</v>
      </c>
      <c r="L25" s="52">
        <v>20</v>
      </c>
      <c r="M25" s="52">
        <v>20</v>
      </c>
      <c r="N25" s="51">
        <f>SUM(K25:M25)</f>
        <v>60.2</v>
      </c>
      <c r="O25" s="52">
        <v>20.2</v>
      </c>
      <c r="P25" s="52">
        <v>20</v>
      </c>
      <c r="Q25" s="52">
        <v>20</v>
      </c>
      <c r="R25" s="51">
        <f>SUM(O25:Q25)</f>
        <v>60.2</v>
      </c>
      <c r="S25" s="52">
        <v>24.2</v>
      </c>
      <c r="T25" s="52">
        <v>24</v>
      </c>
      <c r="U25" s="52">
        <v>24</v>
      </c>
      <c r="V25" s="51">
        <f>SUM(S25:U25)</f>
        <v>72.2</v>
      </c>
    </row>
    <row r="26" spans="2:22" ht="13.5" customHeight="1" hidden="1">
      <c r="B26" s="39" t="s">
        <v>104</v>
      </c>
      <c r="C26" s="39">
        <v>853</v>
      </c>
      <c r="D26" s="49" t="s">
        <v>107</v>
      </c>
      <c r="E26" s="47"/>
      <c r="F26" s="51">
        <f t="shared" si="2"/>
        <v>0</v>
      </c>
      <c r="G26" s="52"/>
      <c r="H26" s="52"/>
      <c r="I26" s="52"/>
      <c r="J26" s="51">
        <f>G26+H26+I26</f>
        <v>0</v>
      </c>
      <c r="K26" s="51"/>
      <c r="L26" s="51"/>
      <c r="M26" s="51"/>
      <c r="N26" s="51">
        <f>K26+L26+M26</f>
        <v>0</v>
      </c>
      <c r="O26" s="51"/>
      <c r="P26" s="51"/>
      <c r="Q26" s="51"/>
      <c r="R26" s="51">
        <f>O26+P26+Q26</f>
        <v>0</v>
      </c>
      <c r="S26" s="51"/>
      <c r="T26" s="52"/>
      <c r="U26" s="52"/>
      <c r="V26" s="51">
        <f>S26+T26+U26</f>
        <v>0</v>
      </c>
    </row>
    <row r="27" spans="2:22" ht="13.5" customHeight="1">
      <c r="B27" s="39" t="s">
        <v>212</v>
      </c>
      <c r="C27" s="39">
        <v>244</v>
      </c>
      <c r="D27" s="49" t="s">
        <v>103</v>
      </c>
      <c r="E27" s="47"/>
      <c r="F27" s="51">
        <f>J27+N27+R27+V27</f>
        <v>20</v>
      </c>
      <c r="G27" s="52">
        <v>1</v>
      </c>
      <c r="H27" s="52">
        <v>2</v>
      </c>
      <c r="I27" s="52">
        <v>2</v>
      </c>
      <c r="J27" s="51">
        <f>G27+H27+I27</f>
        <v>5</v>
      </c>
      <c r="K27" s="52">
        <v>1</v>
      </c>
      <c r="L27" s="52">
        <v>2</v>
      </c>
      <c r="M27" s="52">
        <v>2</v>
      </c>
      <c r="N27" s="51">
        <f>K27+L27+M27</f>
        <v>5</v>
      </c>
      <c r="O27" s="52">
        <v>1</v>
      </c>
      <c r="P27" s="52">
        <v>2</v>
      </c>
      <c r="Q27" s="52">
        <v>2</v>
      </c>
      <c r="R27" s="51">
        <f>O27+P27+Q27</f>
        <v>5</v>
      </c>
      <c r="S27" s="52">
        <v>1</v>
      </c>
      <c r="T27" s="52">
        <v>2</v>
      </c>
      <c r="U27" s="52">
        <v>2</v>
      </c>
      <c r="V27" s="51">
        <f>S27+T27+U27</f>
        <v>5</v>
      </c>
    </row>
    <row r="28" spans="2:22" ht="13.5" customHeight="1" hidden="1">
      <c r="B28" s="39" t="s">
        <v>147</v>
      </c>
      <c r="C28" s="39">
        <v>244</v>
      </c>
      <c r="D28" s="49" t="s">
        <v>105</v>
      </c>
      <c r="E28" s="47"/>
      <c r="F28" s="51">
        <f>J28+N28+R28+V28</f>
        <v>0</v>
      </c>
      <c r="G28" s="52"/>
      <c r="H28" s="52"/>
      <c r="I28" s="52"/>
      <c r="J28" s="51">
        <f>G28+H28+I28</f>
        <v>0</v>
      </c>
      <c r="K28" s="52"/>
      <c r="L28" s="52"/>
      <c r="M28" s="52"/>
      <c r="N28" s="51">
        <f>K28+L28+M28</f>
        <v>0</v>
      </c>
      <c r="O28" s="52"/>
      <c r="P28" s="52"/>
      <c r="Q28" s="52"/>
      <c r="R28" s="51">
        <f>O28+P28+Q28</f>
        <v>0</v>
      </c>
      <c r="S28" s="52"/>
      <c r="T28" s="52"/>
      <c r="U28" s="52"/>
      <c r="V28" s="51">
        <f>S28+T28+U28</f>
        <v>0</v>
      </c>
    </row>
    <row r="29" spans="2:22" ht="24.75" customHeight="1" hidden="1">
      <c r="B29" s="39" t="s">
        <v>145</v>
      </c>
      <c r="C29" s="39">
        <v>240</v>
      </c>
      <c r="D29" s="49" t="s">
        <v>115</v>
      </c>
      <c r="E29" s="47"/>
      <c r="F29" s="51">
        <f t="shared" si="2"/>
        <v>0</v>
      </c>
      <c r="G29" s="52">
        <f>G31+G30</f>
        <v>0</v>
      </c>
      <c r="H29" s="52">
        <f>H31+H30</f>
        <v>0</v>
      </c>
      <c r="I29" s="52">
        <f>I31+I30</f>
        <v>0</v>
      </c>
      <c r="J29" s="51">
        <f>SUM(G29:I29)</f>
        <v>0</v>
      </c>
      <c r="K29" s="52">
        <f>K31+K30</f>
        <v>0</v>
      </c>
      <c r="L29" s="52">
        <f>L31+L30</f>
        <v>0</v>
      </c>
      <c r="M29" s="52">
        <f>M31+M30</f>
        <v>0</v>
      </c>
      <c r="N29" s="52">
        <f>N31</f>
        <v>0</v>
      </c>
      <c r="O29" s="52">
        <f aca="true" t="shared" si="4" ref="O29:U29">O31+O30</f>
        <v>0</v>
      </c>
      <c r="P29" s="52">
        <f t="shared" si="4"/>
        <v>0</v>
      </c>
      <c r="Q29" s="52">
        <f t="shared" si="4"/>
        <v>0</v>
      </c>
      <c r="R29" s="52">
        <f t="shared" si="4"/>
        <v>0</v>
      </c>
      <c r="S29" s="52">
        <f t="shared" si="4"/>
        <v>0</v>
      </c>
      <c r="T29" s="52">
        <f t="shared" si="4"/>
        <v>0</v>
      </c>
      <c r="U29" s="52">
        <f t="shared" si="4"/>
        <v>0</v>
      </c>
      <c r="V29" s="52">
        <f>V31</f>
        <v>0</v>
      </c>
    </row>
    <row r="30" spans="2:22" ht="13.5" customHeight="1" hidden="1">
      <c r="B30" s="39" t="s">
        <v>108</v>
      </c>
      <c r="C30" s="39">
        <v>244</v>
      </c>
      <c r="D30" s="49" t="s">
        <v>109</v>
      </c>
      <c r="E30" s="47"/>
      <c r="F30" s="51">
        <f t="shared" si="2"/>
        <v>0</v>
      </c>
      <c r="G30" s="52"/>
      <c r="H30" s="52"/>
      <c r="I30" s="52"/>
      <c r="J30" s="51">
        <f>G30+H30+I30</f>
        <v>0</v>
      </c>
      <c r="K30" s="52"/>
      <c r="L30" s="52"/>
      <c r="M30" s="52"/>
      <c r="N30" s="51">
        <f>K30+L30+M30</f>
        <v>0</v>
      </c>
      <c r="O30" s="52"/>
      <c r="P30" s="52"/>
      <c r="Q30" s="52"/>
      <c r="R30" s="51">
        <f>O30+P30+Q30</f>
        <v>0</v>
      </c>
      <c r="S30" s="52"/>
      <c r="T30" s="52"/>
      <c r="U30" s="52"/>
      <c r="V30" s="51">
        <f>S30+T30+U30</f>
        <v>0</v>
      </c>
    </row>
    <row r="31" spans="2:22" ht="21" customHeight="1" hidden="1">
      <c r="B31" s="39" t="s">
        <v>146</v>
      </c>
      <c r="C31" s="39">
        <v>244</v>
      </c>
      <c r="D31" s="49" t="s">
        <v>111</v>
      </c>
      <c r="E31" s="47"/>
      <c r="F31" s="51">
        <f t="shared" si="2"/>
        <v>0</v>
      </c>
      <c r="G31" s="52"/>
      <c r="H31" s="52"/>
      <c r="I31" s="52"/>
      <c r="J31" s="51">
        <f>G31+H31+I31</f>
        <v>0</v>
      </c>
      <c r="K31" s="52"/>
      <c r="L31" s="52"/>
      <c r="M31" s="52"/>
      <c r="N31" s="51">
        <f>K31+L31+M31</f>
        <v>0</v>
      </c>
      <c r="O31" s="52"/>
      <c r="P31" s="52"/>
      <c r="Q31" s="52"/>
      <c r="R31" s="51">
        <f>O31+P31+Q31</f>
        <v>0</v>
      </c>
      <c r="S31" s="52"/>
      <c r="T31" s="52"/>
      <c r="U31" s="52"/>
      <c r="V31" s="51">
        <f>S31+T31+U31</f>
        <v>0</v>
      </c>
    </row>
    <row r="32" spans="2:22" ht="24.75" customHeight="1" hidden="1">
      <c r="B32" s="40" t="s">
        <v>126</v>
      </c>
      <c r="C32" s="40">
        <v>100</v>
      </c>
      <c r="D32" s="101"/>
      <c r="E32" s="88"/>
      <c r="F32" s="50">
        <f t="shared" si="2"/>
        <v>0</v>
      </c>
      <c r="G32" s="50">
        <f>G33</f>
        <v>0</v>
      </c>
      <c r="H32" s="50">
        <f>H33</f>
        <v>0</v>
      </c>
      <c r="I32" s="50">
        <f>I33</f>
        <v>0</v>
      </c>
      <c r="J32" s="50">
        <f>SUM(G32:I32)</f>
        <v>0</v>
      </c>
      <c r="K32" s="50">
        <f>K33</f>
        <v>0</v>
      </c>
      <c r="L32" s="50">
        <f>L33</f>
        <v>0</v>
      </c>
      <c r="M32" s="50">
        <f>M33</f>
        <v>0</v>
      </c>
      <c r="N32" s="50">
        <f>SUM(K32:M32)</f>
        <v>0</v>
      </c>
      <c r="O32" s="50">
        <f>O33</f>
        <v>0</v>
      </c>
      <c r="P32" s="50">
        <f>P33</f>
        <v>0</v>
      </c>
      <c r="Q32" s="50">
        <f>Q33</f>
        <v>0</v>
      </c>
      <c r="R32" s="50">
        <f>R34+R36</f>
        <v>0</v>
      </c>
      <c r="S32" s="50">
        <f>S33</f>
        <v>0</v>
      </c>
      <c r="T32" s="50">
        <f>T33</f>
        <v>0</v>
      </c>
      <c r="U32" s="50">
        <f>U33</f>
        <v>0</v>
      </c>
      <c r="V32" s="50">
        <f>V34+V36</f>
        <v>0</v>
      </c>
    </row>
    <row r="33" spans="2:22" ht="11.25" customHeight="1" hidden="1">
      <c r="B33" s="39" t="s">
        <v>112</v>
      </c>
      <c r="C33" s="39">
        <v>120</v>
      </c>
      <c r="D33" s="49" t="s">
        <v>113</v>
      </c>
      <c r="E33" s="47"/>
      <c r="F33" s="51">
        <f>F34+F36</f>
        <v>0</v>
      </c>
      <c r="G33" s="52">
        <f>SUM(G34:G36)</f>
        <v>0</v>
      </c>
      <c r="H33" s="52">
        <f>SUM(H34:H36)</f>
        <v>0</v>
      </c>
      <c r="I33" s="52">
        <f>SUM(I34:I36)</f>
        <v>0</v>
      </c>
      <c r="J33" s="51">
        <f>SUM(G33:I33)</f>
        <v>0</v>
      </c>
      <c r="K33" s="52">
        <f>K34+K36</f>
        <v>0</v>
      </c>
      <c r="L33" s="52">
        <f>L34+L36</f>
        <v>0</v>
      </c>
      <c r="M33" s="52">
        <f>M34+M36</f>
        <v>0</v>
      </c>
      <c r="N33" s="51">
        <f aca="true" t="shared" si="5" ref="N33:V33">SUM(N34:N36)</f>
        <v>0</v>
      </c>
      <c r="O33" s="52">
        <f t="shared" si="5"/>
        <v>0</v>
      </c>
      <c r="P33" s="52">
        <f t="shared" si="5"/>
        <v>0</v>
      </c>
      <c r="Q33" s="52">
        <f t="shared" si="5"/>
        <v>0</v>
      </c>
      <c r="R33" s="51">
        <f t="shared" si="5"/>
        <v>0</v>
      </c>
      <c r="S33" s="52">
        <f t="shared" si="5"/>
        <v>0</v>
      </c>
      <c r="T33" s="52">
        <f t="shared" si="5"/>
        <v>0</v>
      </c>
      <c r="U33" s="52">
        <f t="shared" si="5"/>
        <v>0</v>
      </c>
      <c r="V33" s="51">
        <f t="shared" si="5"/>
        <v>0</v>
      </c>
    </row>
    <row r="34" spans="2:22" ht="12.75" hidden="1">
      <c r="B34" s="39" t="s">
        <v>90</v>
      </c>
      <c r="C34" s="39">
        <v>121</v>
      </c>
      <c r="D34" s="49" t="s">
        <v>91</v>
      </c>
      <c r="E34" s="47"/>
      <c r="F34" s="51">
        <f>J34+N34+R34+V34</f>
        <v>0</v>
      </c>
      <c r="G34" s="52"/>
      <c r="H34" s="52"/>
      <c r="I34" s="52"/>
      <c r="J34" s="51">
        <f>SUM(G34:I34)</f>
        <v>0</v>
      </c>
      <c r="K34" s="52"/>
      <c r="L34" s="52"/>
      <c r="M34" s="52"/>
      <c r="N34" s="51">
        <f>SUM(K34:M34)</f>
        <v>0</v>
      </c>
      <c r="O34" s="52"/>
      <c r="P34" s="52"/>
      <c r="Q34" s="52"/>
      <c r="R34" s="51">
        <f>SUM(O34:Q34)</f>
        <v>0</v>
      </c>
      <c r="S34" s="52"/>
      <c r="T34" s="52"/>
      <c r="U34" s="52"/>
      <c r="V34" s="51">
        <f>SUM(S34:U34)</f>
        <v>0</v>
      </c>
    </row>
    <row r="35" spans="2:22" ht="12.75" hidden="1">
      <c r="B35" s="39" t="s">
        <v>92</v>
      </c>
      <c r="C35" s="39"/>
      <c r="D35" s="49" t="s">
        <v>93</v>
      </c>
      <c r="E35" s="47"/>
      <c r="F35" s="51"/>
      <c r="G35" s="52"/>
      <c r="H35" s="52"/>
      <c r="I35" s="52"/>
      <c r="J35" s="51"/>
      <c r="K35" s="52"/>
      <c r="L35" s="52"/>
      <c r="M35" s="52"/>
      <c r="N35" s="51"/>
      <c r="O35" s="52"/>
      <c r="P35" s="52"/>
      <c r="Q35" s="52"/>
      <c r="R35" s="51"/>
      <c r="S35" s="52"/>
      <c r="T35" s="52"/>
      <c r="U35" s="52"/>
      <c r="V35" s="51"/>
    </row>
    <row r="36" spans="2:22" ht="12.75" customHeight="1" hidden="1">
      <c r="B36" s="39" t="s">
        <v>94</v>
      </c>
      <c r="C36" s="39">
        <v>121</v>
      </c>
      <c r="D36" s="49" t="s">
        <v>95</v>
      </c>
      <c r="E36" s="47"/>
      <c r="F36" s="51">
        <f>J36+N36+R36+V36</f>
        <v>0</v>
      </c>
      <c r="G36" s="52"/>
      <c r="H36" s="52"/>
      <c r="I36" s="52"/>
      <c r="J36" s="51">
        <f>SUM(G36:I36)</f>
        <v>0</v>
      </c>
      <c r="K36" s="52"/>
      <c r="L36" s="52"/>
      <c r="M36" s="52"/>
      <c r="N36" s="51">
        <f aca="true" t="shared" si="6" ref="N36:N42">SUM(K36:M36)</f>
        <v>0</v>
      </c>
      <c r="O36" s="52"/>
      <c r="P36" s="52"/>
      <c r="Q36" s="52"/>
      <c r="R36" s="51">
        <f>SUM(O36:Q36)</f>
        <v>0</v>
      </c>
      <c r="S36" s="52"/>
      <c r="T36" s="52"/>
      <c r="U36" s="52"/>
      <c r="V36" s="51">
        <f aca="true" t="shared" si="7" ref="V36:V42">SUM(S36:U36)</f>
        <v>0</v>
      </c>
    </row>
    <row r="37" spans="2:22" ht="12.75" customHeight="1">
      <c r="B37" s="40" t="s">
        <v>144</v>
      </c>
      <c r="C37" s="40"/>
      <c r="D37" s="101"/>
      <c r="E37" s="88"/>
      <c r="F37" s="50">
        <f>J37+N37+R37+V37</f>
        <v>228.29999999999998</v>
      </c>
      <c r="G37" s="50">
        <f>G38+G43+G42</f>
        <v>12.1</v>
      </c>
      <c r="H37" s="50">
        <f>H38+H43+H42</f>
        <v>16.7</v>
      </c>
      <c r="I37" s="50">
        <f>I38+I43+I42</f>
        <v>15.7</v>
      </c>
      <c r="J37" s="50">
        <f>SUM(G37:I37)</f>
        <v>44.5</v>
      </c>
      <c r="K37" s="50">
        <f>K38+K43+K42</f>
        <v>18.1</v>
      </c>
      <c r="L37" s="50">
        <f>L38+L43+L42</f>
        <v>19.2</v>
      </c>
      <c r="M37" s="50">
        <f>M38+M43+M42</f>
        <v>20.3</v>
      </c>
      <c r="N37" s="123">
        <f t="shared" si="6"/>
        <v>57.599999999999994</v>
      </c>
      <c r="O37" s="50">
        <f>O38+O43+O42</f>
        <v>19.1</v>
      </c>
      <c r="P37" s="50">
        <f>P38+P43+P42</f>
        <v>19.2</v>
      </c>
      <c r="Q37" s="50">
        <f>Q38+Q43+Q42</f>
        <v>19.3</v>
      </c>
      <c r="R37" s="50">
        <f>SUM(O37:Q37)</f>
        <v>57.599999999999994</v>
      </c>
      <c r="S37" s="50">
        <f>S38+S43+S42</f>
        <v>22.4</v>
      </c>
      <c r="T37" s="50">
        <f>T38+T43+T42</f>
        <v>23.1</v>
      </c>
      <c r="U37" s="50">
        <f>U38+U43+U42</f>
        <v>23.1</v>
      </c>
      <c r="V37" s="50">
        <f t="shared" si="7"/>
        <v>68.6</v>
      </c>
    </row>
    <row r="38" spans="2:22" ht="24.75" customHeight="1">
      <c r="B38" s="39" t="s">
        <v>112</v>
      </c>
      <c r="C38" s="39">
        <v>120</v>
      </c>
      <c r="D38" s="49" t="s">
        <v>113</v>
      </c>
      <c r="E38" s="47"/>
      <c r="F38" s="51">
        <f>F39+F41+F40</f>
        <v>218.3</v>
      </c>
      <c r="G38" s="52">
        <f>SUM(G39:G41)</f>
        <v>12.1</v>
      </c>
      <c r="H38" s="52">
        <f>SUM(H39:H41)</f>
        <v>15.7</v>
      </c>
      <c r="I38" s="52">
        <f>SUM(I39:I41)</f>
        <v>15.7</v>
      </c>
      <c r="J38" s="51">
        <f>SUM(G38:I38)</f>
        <v>43.5</v>
      </c>
      <c r="K38" s="52">
        <f>K39+K41+K40</f>
        <v>18.1</v>
      </c>
      <c r="L38" s="52">
        <f>L39+L40+L41</f>
        <v>18.2</v>
      </c>
      <c r="M38" s="52">
        <f>M39+M41+M40</f>
        <v>18.3</v>
      </c>
      <c r="N38" s="51">
        <f t="shared" si="6"/>
        <v>54.599999999999994</v>
      </c>
      <c r="O38" s="52">
        <f>O39+O40+O41</f>
        <v>18.1</v>
      </c>
      <c r="P38" s="52">
        <f>P39+P40+P41</f>
        <v>18.2</v>
      </c>
      <c r="Q38" s="52">
        <f>Q39+Q40+Q41</f>
        <v>18.3</v>
      </c>
      <c r="R38" s="51">
        <f>O38+P38+Q38</f>
        <v>54.599999999999994</v>
      </c>
      <c r="S38" s="52">
        <f>S39+S40+S41</f>
        <v>21.4</v>
      </c>
      <c r="T38" s="52">
        <f>T39+T40+T41</f>
        <v>22.1</v>
      </c>
      <c r="U38" s="52">
        <f>U39+U40+U41</f>
        <v>22.1</v>
      </c>
      <c r="V38" s="51">
        <f t="shared" si="7"/>
        <v>65.6</v>
      </c>
    </row>
    <row r="39" spans="2:22" ht="12.75">
      <c r="B39" s="39" t="s">
        <v>90</v>
      </c>
      <c r="C39" s="39">
        <v>121</v>
      </c>
      <c r="D39" s="49" t="s">
        <v>91</v>
      </c>
      <c r="E39" s="47"/>
      <c r="F39" s="51">
        <f aca="true" t="shared" si="8" ref="F39:F49">J39+N39+R39+V39</f>
        <v>167.70000000000002</v>
      </c>
      <c r="G39" s="52">
        <v>9.5</v>
      </c>
      <c r="H39" s="52">
        <v>12</v>
      </c>
      <c r="I39" s="52">
        <v>12</v>
      </c>
      <c r="J39" s="51">
        <f>SUM(G39:I39)</f>
        <v>33.5</v>
      </c>
      <c r="K39" s="52">
        <v>13.9</v>
      </c>
      <c r="L39" s="52">
        <v>14</v>
      </c>
      <c r="M39" s="52">
        <v>14</v>
      </c>
      <c r="N39" s="51">
        <f t="shared" si="6"/>
        <v>41.9</v>
      </c>
      <c r="O39" s="52">
        <v>13.9</v>
      </c>
      <c r="P39" s="52">
        <v>14</v>
      </c>
      <c r="Q39" s="52">
        <v>14</v>
      </c>
      <c r="R39" s="51">
        <f>SUM(O39:Q39)</f>
        <v>41.9</v>
      </c>
      <c r="S39" s="52">
        <v>16.4</v>
      </c>
      <c r="T39" s="52">
        <v>17</v>
      </c>
      <c r="U39" s="52">
        <v>17</v>
      </c>
      <c r="V39" s="51">
        <f t="shared" si="7"/>
        <v>50.4</v>
      </c>
    </row>
    <row r="40" spans="2:22" ht="12.75" hidden="1">
      <c r="B40" s="39" t="s">
        <v>92</v>
      </c>
      <c r="C40" s="39"/>
      <c r="D40" s="49" t="s">
        <v>93</v>
      </c>
      <c r="E40" s="47"/>
      <c r="F40" s="51">
        <f t="shared" si="8"/>
        <v>0</v>
      </c>
      <c r="G40" s="52"/>
      <c r="H40" s="52"/>
      <c r="I40" s="52"/>
      <c r="J40" s="51">
        <f>SUM(G40:I40)</f>
        <v>0</v>
      </c>
      <c r="K40" s="52"/>
      <c r="L40" s="52"/>
      <c r="M40" s="52"/>
      <c r="N40" s="51">
        <f t="shared" si="6"/>
        <v>0</v>
      </c>
      <c r="O40" s="52"/>
      <c r="P40" s="52"/>
      <c r="Q40" s="52"/>
      <c r="R40" s="51">
        <f>SUM(O40:Q40)</f>
        <v>0</v>
      </c>
      <c r="S40" s="52"/>
      <c r="T40" s="52"/>
      <c r="U40" s="52"/>
      <c r="V40" s="51">
        <f t="shared" si="7"/>
        <v>0</v>
      </c>
    </row>
    <row r="41" spans="2:22" ht="12.75" customHeight="1">
      <c r="B41" s="39" t="s">
        <v>94</v>
      </c>
      <c r="C41" s="39">
        <v>121</v>
      </c>
      <c r="D41" s="49" t="s">
        <v>95</v>
      </c>
      <c r="E41" s="47"/>
      <c r="F41" s="51">
        <f t="shared" si="8"/>
        <v>50.599999999999994</v>
      </c>
      <c r="G41" s="52">
        <v>2.6</v>
      </c>
      <c r="H41" s="52">
        <v>3.7</v>
      </c>
      <c r="I41" s="52">
        <v>3.7</v>
      </c>
      <c r="J41" s="51">
        <f>G41+H41+I41</f>
        <v>10</v>
      </c>
      <c r="K41" s="52">
        <v>4.2</v>
      </c>
      <c r="L41" s="52">
        <v>4.2</v>
      </c>
      <c r="M41" s="52">
        <v>4.3</v>
      </c>
      <c r="N41" s="51">
        <f t="shared" si="6"/>
        <v>12.7</v>
      </c>
      <c r="O41" s="52">
        <v>4.2</v>
      </c>
      <c r="P41" s="52">
        <v>4.2</v>
      </c>
      <c r="Q41" s="52">
        <v>4.3</v>
      </c>
      <c r="R41" s="51">
        <f>SUM(O41:Q41)</f>
        <v>12.7</v>
      </c>
      <c r="S41" s="52">
        <v>5</v>
      </c>
      <c r="T41" s="52">
        <v>5.1</v>
      </c>
      <c r="U41" s="52">
        <v>5.1</v>
      </c>
      <c r="V41" s="51">
        <f t="shared" si="7"/>
        <v>15.2</v>
      </c>
    </row>
    <row r="42" spans="2:22" ht="12.75" customHeight="1" hidden="1">
      <c r="B42" s="39" t="s">
        <v>147</v>
      </c>
      <c r="C42" s="39">
        <v>244</v>
      </c>
      <c r="D42" s="49" t="s">
        <v>105</v>
      </c>
      <c r="E42" s="47"/>
      <c r="F42" s="51">
        <f t="shared" si="8"/>
        <v>0</v>
      </c>
      <c r="G42" s="52"/>
      <c r="H42" s="52"/>
      <c r="I42" s="52"/>
      <c r="J42" s="51">
        <f>G42+H42+I42</f>
        <v>0</v>
      </c>
      <c r="K42" s="52"/>
      <c r="L42" s="52"/>
      <c r="M42" s="52"/>
      <c r="N42" s="51">
        <f t="shared" si="6"/>
        <v>0</v>
      </c>
      <c r="O42" s="52"/>
      <c r="P42" s="52"/>
      <c r="Q42" s="52"/>
      <c r="R42" s="51">
        <f>SUM(O42:Q42)</f>
        <v>0</v>
      </c>
      <c r="S42" s="52"/>
      <c r="T42" s="52"/>
      <c r="U42" s="52"/>
      <c r="V42" s="51">
        <f t="shared" si="7"/>
        <v>0</v>
      </c>
    </row>
    <row r="43" spans="2:22" ht="23.25" customHeight="1">
      <c r="B43" s="39" t="s">
        <v>146</v>
      </c>
      <c r="C43" s="39">
        <v>244</v>
      </c>
      <c r="D43" s="49" t="s">
        <v>111</v>
      </c>
      <c r="E43" s="47"/>
      <c r="F43" s="51">
        <f t="shared" si="8"/>
        <v>10</v>
      </c>
      <c r="G43" s="52"/>
      <c r="H43" s="52">
        <v>1</v>
      </c>
      <c r="I43" s="52"/>
      <c r="J43" s="51">
        <f>G43+H43+I43</f>
        <v>1</v>
      </c>
      <c r="K43" s="52">
        <f>1-1</f>
        <v>0</v>
      </c>
      <c r="L43" s="52">
        <v>1</v>
      </c>
      <c r="M43" s="52">
        <f>1+1</f>
        <v>2</v>
      </c>
      <c r="N43" s="51">
        <f>K43+L43+M43</f>
        <v>3</v>
      </c>
      <c r="O43" s="52">
        <v>1</v>
      </c>
      <c r="P43" s="52">
        <v>1</v>
      </c>
      <c r="Q43" s="52">
        <v>1</v>
      </c>
      <c r="R43" s="51">
        <f>O43+P43+Q43</f>
        <v>3</v>
      </c>
      <c r="S43" s="52">
        <v>1</v>
      </c>
      <c r="T43" s="52">
        <v>1</v>
      </c>
      <c r="U43" s="52">
        <v>1</v>
      </c>
      <c r="V43" s="51">
        <f>S43+T43+U43</f>
        <v>3</v>
      </c>
    </row>
    <row r="44" spans="2:22" ht="12.75" customHeight="1">
      <c r="B44" s="40" t="s">
        <v>127</v>
      </c>
      <c r="C44" s="40">
        <v>800</v>
      </c>
      <c r="D44" s="101"/>
      <c r="E44" s="88"/>
      <c r="F44" s="50">
        <f t="shared" si="8"/>
        <v>250</v>
      </c>
      <c r="G44" s="64">
        <f>G45</f>
        <v>0</v>
      </c>
      <c r="H44" s="64">
        <f>H45</f>
        <v>0</v>
      </c>
      <c r="I44" s="64">
        <f>I45</f>
        <v>0</v>
      </c>
      <c r="J44" s="64">
        <f>SUM(G44:I44)</f>
        <v>0</v>
      </c>
      <c r="K44" s="64">
        <f>K45</f>
        <v>0</v>
      </c>
      <c r="L44" s="64">
        <f>L45</f>
        <v>0</v>
      </c>
      <c r="M44" s="64">
        <f>M45</f>
        <v>0</v>
      </c>
      <c r="N44" s="64">
        <f>SUM(K44:M44)</f>
        <v>0</v>
      </c>
      <c r="O44" s="64">
        <f>O45</f>
        <v>0</v>
      </c>
      <c r="P44" s="64">
        <f>P45</f>
        <v>0</v>
      </c>
      <c r="Q44" s="64">
        <f>Q45</f>
        <v>0</v>
      </c>
      <c r="R44" s="64">
        <f>SUM(O44:Q44)</f>
        <v>0</v>
      </c>
      <c r="S44" s="64">
        <f>S45</f>
        <v>0</v>
      </c>
      <c r="T44" s="64">
        <f>T45</f>
        <v>0</v>
      </c>
      <c r="U44" s="50">
        <f>U45</f>
        <v>250</v>
      </c>
      <c r="V44" s="50">
        <f>SUM(S44:U44)</f>
        <v>250</v>
      </c>
    </row>
    <row r="45" spans="2:22" ht="12.75">
      <c r="B45" s="39" t="s">
        <v>104</v>
      </c>
      <c r="C45" s="39">
        <v>870</v>
      </c>
      <c r="D45" s="49" t="s">
        <v>107</v>
      </c>
      <c r="E45" s="47"/>
      <c r="F45" s="51">
        <f t="shared" si="8"/>
        <v>250</v>
      </c>
      <c r="G45" s="61">
        <v>0</v>
      </c>
      <c r="H45" s="61">
        <v>0</v>
      </c>
      <c r="I45" s="61">
        <v>0</v>
      </c>
      <c r="J45" s="60">
        <f>SUM(G45:I45)</f>
        <v>0</v>
      </c>
      <c r="K45" s="61">
        <v>0</v>
      </c>
      <c r="L45" s="61">
        <v>0</v>
      </c>
      <c r="M45" s="61">
        <v>0</v>
      </c>
      <c r="N45" s="60">
        <f>SUM(K45:M45)</f>
        <v>0</v>
      </c>
      <c r="O45" s="61">
        <v>0</v>
      </c>
      <c r="P45" s="61">
        <v>0</v>
      </c>
      <c r="Q45" s="61">
        <v>0</v>
      </c>
      <c r="R45" s="60">
        <f>SUM(O45:Q45)</f>
        <v>0</v>
      </c>
      <c r="S45" s="61">
        <v>0</v>
      </c>
      <c r="T45" s="61">
        <v>0</v>
      </c>
      <c r="U45" s="52">
        <v>250</v>
      </c>
      <c r="V45" s="51">
        <f>SUM(S45:U45)</f>
        <v>250</v>
      </c>
    </row>
    <row r="46" spans="2:22" ht="54.75" customHeight="1">
      <c r="B46" s="40" t="s">
        <v>309</v>
      </c>
      <c r="C46" s="40">
        <v>200</v>
      </c>
      <c r="D46" s="101"/>
      <c r="E46" s="88"/>
      <c r="F46" s="50">
        <f t="shared" si="8"/>
        <v>100</v>
      </c>
      <c r="G46" s="50">
        <f aca="true" t="shared" si="9" ref="G46:I47">G47</f>
        <v>16</v>
      </c>
      <c r="H46" s="50">
        <f t="shared" si="9"/>
        <v>17</v>
      </c>
      <c r="I46" s="50">
        <f t="shared" si="9"/>
        <v>17</v>
      </c>
      <c r="J46" s="50">
        <f>G46+H46+I46</f>
        <v>50</v>
      </c>
      <c r="K46" s="64">
        <f aca="true" t="shared" si="10" ref="K46:M47">K47</f>
        <v>0</v>
      </c>
      <c r="L46" s="50">
        <f t="shared" si="10"/>
        <v>17</v>
      </c>
      <c r="M46" s="50">
        <f t="shared" si="10"/>
        <v>33</v>
      </c>
      <c r="N46" s="50">
        <f>K46+L46+M46</f>
        <v>50</v>
      </c>
      <c r="O46" s="64">
        <f aca="true" t="shared" si="11" ref="O46:Q47">O47</f>
        <v>0</v>
      </c>
      <c r="P46" s="64">
        <f t="shared" si="11"/>
        <v>0</v>
      </c>
      <c r="Q46" s="64">
        <f t="shared" si="11"/>
        <v>0</v>
      </c>
      <c r="R46" s="64">
        <f>O46+P46+Q46</f>
        <v>0</v>
      </c>
      <c r="S46" s="64">
        <f aca="true" t="shared" si="12" ref="S46:U47">S47</f>
        <v>0</v>
      </c>
      <c r="T46" s="64">
        <f t="shared" si="12"/>
        <v>0</v>
      </c>
      <c r="U46" s="64">
        <f t="shared" si="12"/>
        <v>0</v>
      </c>
      <c r="V46" s="64">
        <f>S46+T46+U46</f>
        <v>0</v>
      </c>
    </row>
    <row r="47" spans="2:22" ht="65.25" customHeight="1">
      <c r="B47" s="41" t="s">
        <v>167</v>
      </c>
      <c r="C47" s="41">
        <v>240</v>
      </c>
      <c r="D47" s="99"/>
      <c r="E47" s="100"/>
      <c r="F47" s="53">
        <f t="shared" si="8"/>
        <v>100</v>
      </c>
      <c r="G47" s="53">
        <f t="shared" si="9"/>
        <v>16</v>
      </c>
      <c r="H47" s="53">
        <f t="shared" si="9"/>
        <v>17</v>
      </c>
      <c r="I47" s="53">
        <f t="shared" si="9"/>
        <v>17</v>
      </c>
      <c r="J47" s="53">
        <f>SUM(G47:I47)</f>
        <v>50</v>
      </c>
      <c r="K47" s="65">
        <f t="shared" si="10"/>
        <v>0</v>
      </c>
      <c r="L47" s="53">
        <f t="shared" si="10"/>
        <v>17</v>
      </c>
      <c r="M47" s="53">
        <f t="shared" si="10"/>
        <v>33</v>
      </c>
      <c r="N47" s="53">
        <f>SUM(K47:M47)</f>
        <v>50</v>
      </c>
      <c r="O47" s="65">
        <f t="shared" si="11"/>
        <v>0</v>
      </c>
      <c r="P47" s="65">
        <f t="shared" si="11"/>
        <v>0</v>
      </c>
      <c r="Q47" s="65">
        <f t="shared" si="11"/>
        <v>0</v>
      </c>
      <c r="R47" s="65">
        <f>SUM(O47:Q47)</f>
        <v>0</v>
      </c>
      <c r="S47" s="65">
        <f t="shared" si="12"/>
        <v>0</v>
      </c>
      <c r="T47" s="65">
        <f t="shared" si="12"/>
        <v>0</v>
      </c>
      <c r="U47" s="65">
        <f t="shared" si="12"/>
        <v>0</v>
      </c>
      <c r="V47" s="65">
        <f>SUM(S47:U47)</f>
        <v>0</v>
      </c>
    </row>
    <row r="48" spans="2:22" ht="12.75">
      <c r="B48" s="39" t="s">
        <v>147</v>
      </c>
      <c r="C48" s="39">
        <v>244</v>
      </c>
      <c r="D48" s="49" t="s">
        <v>105</v>
      </c>
      <c r="E48" s="47"/>
      <c r="F48" s="51">
        <f t="shared" si="8"/>
        <v>100</v>
      </c>
      <c r="G48" s="52">
        <v>16</v>
      </c>
      <c r="H48" s="52">
        <v>17</v>
      </c>
      <c r="I48" s="52">
        <v>17</v>
      </c>
      <c r="J48" s="51">
        <f>SUM(G48:I48)</f>
        <v>50</v>
      </c>
      <c r="K48" s="61">
        <f>16-16</f>
        <v>0</v>
      </c>
      <c r="L48" s="52">
        <v>17</v>
      </c>
      <c r="M48" s="52">
        <f>17+16</f>
        <v>33</v>
      </c>
      <c r="N48" s="51">
        <f>SUM(K48:M48)</f>
        <v>50</v>
      </c>
      <c r="O48" s="61">
        <v>0</v>
      </c>
      <c r="P48" s="61">
        <v>0</v>
      </c>
      <c r="Q48" s="61">
        <v>0</v>
      </c>
      <c r="R48" s="60">
        <f>SUM(O48:Q48)</f>
        <v>0</v>
      </c>
      <c r="S48" s="61">
        <v>0</v>
      </c>
      <c r="T48" s="61">
        <v>0</v>
      </c>
      <c r="U48" s="65">
        <v>0</v>
      </c>
      <c r="V48" s="65">
        <f>SUM(S48:U48)</f>
        <v>0</v>
      </c>
    </row>
    <row r="49" spans="2:22" ht="45" customHeight="1">
      <c r="B49" s="40" t="s">
        <v>310</v>
      </c>
      <c r="C49" s="40">
        <v>200</v>
      </c>
      <c r="D49" s="49"/>
      <c r="E49" s="47"/>
      <c r="F49" s="50">
        <f t="shared" si="8"/>
        <v>450</v>
      </c>
      <c r="G49" s="54">
        <f>G50+G52</f>
        <v>32</v>
      </c>
      <c r="H49" s="54">
        <f>H50+H52</f>
        <v>34</v>
      </c>
      <c r="I49" s="54">
        <f>I50+I52</f>
        <v>34</v>
      </c>
      <c r="J49" s="50">
        <f>G49+H49+I49</f>
        <v>100</v>
      </c>
      <c r="K49" s="66">
        <f>K50+K52</f>
        <v>0</v>
      </c>
      <c r="L49" s="54">
        <f>L50+L52</f>
        <v>42</v>
      </c>
      <c r="M49" s="54">
        <f>M50+M52</f>
        <v>83</v>
      </c>
      <c r="N49" s="50">
        <f>K49+L49+M49</f>
        <v>125</v>
      </c>
      <c r="O49" s="54">
        <f>O50+O52</f>
        <v>41</v>
      </c>
      <c r="P49" s="54">
        <f>P50+P52</f>
        <v>42</v>
      </c>
      <c r="Q49" s="54">
        <f>Q50+Q52</f>
        <v>42</v>
      </c>
      <c r="R49" s="50">
        <f>O49+P49+Q49</f>
        <v>125</v>
      </c>
      <c r="S49" s="54">
        <f>S50+S52</f>
        <v>32</v>
      </c>
      <c r="T49" s="54">
        <f>T50+T52</f>
        <v>34</v>
      </c>
      <c r="U49" s="54">
        <f>U50+U52</f>
        <v>34</v>
      </c>
      <c r="V49" s="50">
        <f>SUM(S49:U49)</f>
        <v>100</v>
      </c>
    </row>
    <row r="50" spans="2:22" ht="32.25" customHeight="1">
      <c r="B50" s="41" t="s">
        <v>168</v>
      </c>
      <c r="C50" s="39">
        <v>240</v>
      </c>
      <c r="D50" s="49"/>
      <c r="E50" s="47"/>
      <c r="F50" s="53">
        <f aca="true" t="shared" si="13" ref="F50:F56">J50+N50+R50+V50</f>
        <v>200</v>
      </c>
      <c r="G50" s="53">
        <f>G51</f>
        <v>16</v>
      </c>
      <c r="H50" s="53">
        <f>H51</f>
        <v>17</v>
      </c>
      <c r="I50" s="53">
        <f>I51</f>
        <v>17</v>
      </c>
      <c r="J50" s="53">
        <f aca="true" t="shared" si="14" ref="J50:J57">SUM(G50:I50)</f>
        <v>50</v>
      </c>
      <c r="K50" s="65">
        <f>K51</f>
        <v>0</v>
      </c>
      <c r="L50" s="53">
        <f>L51</f>
        <v>17</v>
      </c>
      <c r="M50" s="53">
        <f>M51</f>
        <v>33</v>
      </c>
      <c r="N50" s="53">
        <f aca="true" t="shared" si="15" ref="N50:N57">SUM(K50:M50)</f>
        <v>50</v>
      </c>
      <c r="O50" s="53">
        <f>O51</f>
        <v>16</v>
      </c>
      <c r="P50" s="53">
        <f>P51</f>
        <v>17</v>
      </c>
      <c r="Q50" s="53">
        <f>Q51</f>
        <v>17</v>
      </c>
      <c r="R50" s="53">
        <f aca="true" t="shared" si="16" ref="R50:R57">SUM(O50:Q50)</f>
        <v>50</v>
      </c>
      <c r="S50" s="53">
        <f>S51</f>
        <v>16</v>
      </c>
      <c r="T50" s="53">
        <f>T51</f>
        <v>17</v>
      </c>
      <c r="U50" s="53">
        <f>U51</f>
        <v>17</v>
      </c>
      <c r="V50" s="51">
        <f>V51</f>
        <v>50</v>
      </c>
    </row>
    <row r="51" spans="2:22" ht="12" customHeight="1">
      <c r="B51" s="39" t="s">
        <v>147</v>
      </c>
      <c r="C51" s="39">
        <v>244</v>
      </c>
      <c r="D51" s="49" t="s">
        <v>105</v>
      </c>
      <c r="E51" s="47"/>
      <c r="F51" s="51">
        <f t="shared" si="13"/>
        <v>200</v>
      </c>
      <c r="G51" s="52">
        <v>16</v>
      </c>
      <c r="H51" s="52">
        <v>17</v>
      </c>
      <c r="I51" s="52">
        <v>17</v>
      </c>
      <c r="J51" s="51">
        <f t="shared" si="14"/>
        <v>50</v>
      </c>
      <c r="K51" s="61">
        <f>16-16</f>
        <v>0</v>
      </c>
      <c r="L51" s="52">
        <v>17</v>
      </c>
      <c r="M51" s="52">
        <f>17+16</f>
        <v>33</v>
      </c>
      <c r="N51" s="51">
        <f t="shared" si="15"/>
        <v>50</v>
      </c>
      <c r="O51" s="52">
        <v>16</v>
      </c>
      <c r="P51" s="52">
        <v>17</v>
      </c>
      <c r="Q51" s="52">
        <v>17</v>
      </c>
      <c r="R51" s="51">
        <f t="shared" si="16"/>
        <v>50</v>
      </c>
      <c r="S51" s="52">
        <v>16</v>
      </c>
      <c r="T51" s="52">
        <v>17</v>
      </c>
      <c r="U51" s="52">
        <v>17</v>
      </c>
      <c r="V51" s="51">
        <f>SUM(S51:U51)</f>
        <v>50</v>
      </c>
    </row>
    <row r="52" spans="2:22" ht="34.5" customHeight="1">
      <c r="B52" s="41" t="s">
        <v>169</v>
      </c>
      <c r="C52" s="39">
        <v>240</v>
      </c>
      <c r="D52" s="49"/>
      <c r="E52" s="47"/>
      <c r="F52" s="53">
        <f>J52+N52+R52+V52</f>
        <v>250</v>
      </c>
      <c r="G52" s="53">
        <f>G53</f>
        <v>16</v>
      </c>
      <c r="H52" s="53">
        <f>H53</f>
        <v>17</v>
      </c>
      <c r="I52" s="53">
        <f>I53</f>
        <v>17</v>
      </c>
      <c r="J52" s="53">
        <f t="shared" si="14"/>
        <v>50</v>
      </c>
      <c r="K52" s="65">
        <f>K53</f>
        <v>0</v>
      </c>
      <c r="L52" s="53">
        <f>L53</f>
        <v>25</v>
      </c>
      <c r="M52" s="53">
        <f>M53</f>
        <v>50</v>
      </c>
      <c r="N52" s="53">
        <f t="shared" si="15"/>
        <v>75</v>
      </c>
      <c r="O52" s="53">
        <f>O53</f>
        <v>25</v>
      </c>
      <c r="P52" s="53">
        <f>P53</f>
        <v>25</v>
      </c>
      <c r="Q52" s="53">
        <f>Q53</f>
        <v>25</v>
      </c>
      <c r="R52" s="53">
        <f t="shared" si="16"/>
        <v>75</v>
      </c>
      <c r="S52" s="53">
        <f>S53</f>
        <v>16</v>
      </c>
      <c r="T52" s="53">
        <f>T53</f>
        <v>17</v>
      </c>
      <c r="U52" s="53">
        <f>U53</f>
        <v>17</v>
      </c>
      <c r="V52" s="51">
        <f>V53</f>
        <v>50</v>
      </c>
    </row>
    <row r="53" spans="2:22" ht="12.75">
      <c r="B53" s="39" t="s">
        <v>147</v>
      </c>
      <c r="C53" s="39">
        <v>244</v>
      </c>
      <c r="D53" s="49" t="s">
        <v>105</v>
      </c>
      <c r="E53" s="47"/>
      <c r="F53" s="51">
        <f t="shared" si="13"/>
        <v>250</v>
      </c>
      <c r="G53" s="52">
        <v>16</v>
      </c>
      <c r="H53" s="52">
        <v>17</v>
      </c>
      <c r="I53" s="52">
        <v>17</v>
      </c>
      <c r="J53" s="51">
        <f t="shared" si="14"/>
        <v>50</v>
      </c>
      <c r="K53" s="61">
        <f>25-25</f>
        <v>0</v>
      </c>
      <c r="L53" s="52">
        <v>25</v>
      </c>
      <c r="M53" s="52">
        <f>25+25</f>
        <v>50</v>
      </c>
      <c r="N53" s="51">
        <f t="shared" si="15"/>
        <v>75</v>
      </c>
      <c r="O53" s="52">
        <v>25</v>
      </c>
      <c r="P53" s="52">
        <v>25</v>
      </c>
      <c r="Q53" s="52">
        <v>25</v>
      </c>
      <c r="R53" s="51">
        <f t="shared" si="16"/>
        <v>75</v>
      </c>
      <c r="S53" s="52">
        <v>16</v>
      </c>
      <c r="T53" s="52">
        <v>17</v>
      </c>
      <c r="U53" s="52">
        <v>17</v>
      </c>
      <c r="V53" s="51">
        <f aca="true" t="shared" si="17" ref="V53:V58">SUM(S53:U53)</f>
        <v>50</v>
      </c>
    </row>
    <row r="54" spans="2:22" ht="66" customHeight="1">
      <c r="B54" s="40" t="s">
        <v>311</v>
      </c>
      <c r="C54" s="103" t="s">
        <v>188</v>
      </c>
      <c r="D54" s="49"/>
      <c r="E54" s="47"/>
      <c r="F54" s="55">
        <f t="shared" si="13"/>
        <v>12732.32</v>
      </c>
      <c r="G54" s="56">
        <f>G55+G59+G68+G70+G74+G76+G78+G80+G82</f>
        <v>749.72</v>
      </c>
      <c r="H54" s="56">
        <f>H55+H59+H68+H70+H74+H76+H78+H80+H82</f>
        <v>957.7000000000002</v>
      </c>
      <c r="I54" s="56">
        <f>I55+I59+I68+I70+I74+I76+I78+I80+I82</f>
        <v>958.7000000000002</v>
      </c>
      <c r="J54" s="55">
        <f t="shared" si="14"/>
        <v>2666.1200000000003</v>
      </c>
      <c r="K54" s="56">
        <f>K55+K59+K68+K70+K74+K76+K78+K80+K82</f>
        <v>735.3</v>
      </c>
      <c r="L54" s="56">
        <f>L55+L59+L68+L70+L74+L76+L78+L80+L82</f>
        <v>1024.6</v>
      </c>
      <c r="M54" s="56">
        <f>M55+M59+M68+M70+M74+M76+M78+M80+M82</f>
        <v>1312.92</v>
      </c>
      <c r="N54" s="55">
        <f>SUM(K54:M54)</f>
        <v>3072.8199999999997</v>
      </c>
      <c r="O54" s="56">
        <f>O55+O59+O68+O70+O74+O76+O78+O80+O82</f>
        <v>1060.7</v>
      </c>
      <c r="P54" s="56">
        <f>P55+P59+P68+P70+P74+P76+P78+P80+P82</f>
        <v>1063.8999999999999</v>
      </c>
      <c r="Q54" s="56">
        <f>Q55+Q59+Q68+Q70+Q74+Q76+Q78+Q80+Q82</f>
        <v>1065.8300000000002</v>
      </c>
      <c r="R54" s="55">
        <f t="shared" si="16"/>
        <v>3190.4300000000003</v>
      </c>
      <c r="S54" s="56">
        <f>S55+S59+S68+S70+S74+S76+S78+S80+S82</f>
        <v>1264.6999999999998</v>
      </c>
      <c r="T54" s="56">
        <f>T55+T59+T68+T70+T74+T76+T78+T80+T82</f>
        <v>1268.5</v>
      </c>
      <c r="U54" s="56">
        <f>U55+U59+U68+U70+U74+U76+U78+U80+U82</f>
        <v>1269.75</v>
      </c>
      <c r="V54" s="55">
        <f t="shared" si="17"/>
        <v>3802.95</v>
      </c>
    </row>
    <row r="55" spans="2:22" ht="51">
      <c r="B55" s="41" t="s">
        <v>187</v>
      </c>
      <c r="C55" s="41">
        <v>110</v>
      </c>
      <c r="D55" s="99" t="s">
        <v>113</v>
      </c>
      <c r="E55" s="100"/>
      <c r="F55" s="57">
        <f t="shared" si="13"/>
        <v>9098.02</v>
      </c>
      <c r="G55" s="53">
        <f>G56+G58</f>
        <v>473.52000000000004</v>
      </c>
      <c r="H55" s="53">
        <f>H56+H58</f>
        <v>673.1</v>
      </c>
      <c r="I55" s="53">
        <f>I56+I58</f>
        <v>673.2</v>
      </c>
      <c r="J55" s="51">
        <f t="shared" si="14"/>
        <v>1819.8200000000002</v>
      </c>
      <c r="K55" s="53">
        <f>K56+K58</f>
        <v>652.9</v>
      </c>
      <c r="L55" s="53">
        <f>L56+L58</f>
        <v>757.8</v>
      </c>
      <c r="M55" s="53">
        <f>M56+M58</f>
        <v>863.9</v>
      </c>
      <c r="N55" s="57">
        <f t="shared" si="15"/>
        <v>2274.6</v>
      </c>
      <c r="O55" s="53">
        <f>O56+O58</f>
        <v>757.8</v>
      </c>
      <c r="P55" s="53">
        <f>P56+P58</f>
        <v>757.9</v>
      </c>
      <c r="Q55" s="53">
        <f>Q56+Q58</f>
        <v>758.9</v>
      </c>
      <c r="R55" s="57">
        <f t="shared" si="16"/>
        <v>2274.6</v>
      </c>
      <c r="S55" s="53">
        <f>S56+S58</f>
        <v>909</v>
      </c>
      <c r="T55" s="53">
        <f>T56+T58</f>
        <v>910</v>
      </c>
      <c r="U55" s="53">
        <f>U56+U58</f>
        <v>910</v>
      </c>
      <c r="V55" s="57">
        <f t="shared" si="17"/>
        <v>2729</v>
      </c>
    </row>
    <row r="56" spans="2:22" ht="12.75">
      <c r="B56" s="39" t="s">
        <v>90</v>
      </c>
      <c r="C56" s="39">
        <v>111</v>
      </c>
      <c r="D56" s="49" t="s">
        <v>91</v>
      </c>
      <c r="E56" s="47"/>
      <c r="F56" s="51">
        <f t="shared" si="13"/>
        <v>6987.72</v>
      </c>
      <c r="G56" s="52">
        <v>363.72</v>
      </c>
      <c r="H56" s="52">
        <v>517</v>
      </c>
      <c r="I56" s="52">
        <v>517</v>
      </c>
      <c r="J56" s="51">
        <f t="shared" si="14"/>
        <v>1397.72</v>
      </c>
      <c r="K56" s="52">
        <f>582-115.4+34.9</f>
        <v>501.5</v>
      </c>
      <c r="L56" s="52">
        <v>582</v>
      </c>
      <c r="M56" s="52">
        <f>583+115.4-34.9</f>
        <v>663.5</v>
      </c>
      <c r="N56" s="51">
        <f t="shared" si="15"/>
        <v>1747</v>
      </c>
      <c r="O56" s="52">
        <v>582</v>
      </c>
      <c r="P56" s="52">
        <v>582</v>
      </c>
      <c r="Q56" s="52">
        <v>583</v>
      </c>
      <c r="R56" s="51">
        <f t="shared" si="16"/>
        <v>1747</v>
      </c>
      <c r="S56" s="52">
        <v>698</v>
      </c>
      <c r="T56" s="52">
        <v>699</v>
      </c>
      <c r="U56" s="52">
        <v>699</v>
      </c>
      <c r="V56" s="51">
        <f t="shared" si="17"/>
        <v>2096</v>
      </c>
    </row>
    <row r="57" spans="2:22" ht="12.75" hidden="1">
      <c r="B57" s="39" t="s">
        <v>92</v>
      </c>
      <c r="C57" s="39"/>
      <c r="D57" s="49" t="s">
        <v>93</v>
      </c>
      <c r="E57" s="47"/>
      <c r="F57" s="51">
        <f>V57</f>
        <v>0</v>
      </c>
      <c r="G57" s="52"/>
      <c r="H57" s="52"/>
      <c r="I57" s="52"/>
      <c r="J57" s="51">
        <f t="shared" si="14"/>
        <v>0</v>
      </c>
      <c r="K57" s="52"/>
      <c r="L57" s="52"/>
      <c r="M57" s="52"/>
      <c r="N57" s="51">
        <f t="shared" si="15"/>
        <v>0</v>
      </c>
      <c r="O57" s="52"/>
      <c r="P57" s="52"/>
      <c r="Q57" s="52"/>
      <c r="R57" s="51">
        <f t="shared" si="16"/>
        <v>0</v>
      </c>
      <c r="S57" s="52"/>
      <c r="T57" s="52"/>
      <c r="U57" s="52"/>
      <c r="V57" s="51">
        <f t="shared" si="17"/>
        <v>0</v>
      </c>
    </row>
    <row r="58" spans="2:22" ht="12.75">
      <c r="B58" s="39" t="s">
        <v>94</v>
      </c>
      <c r="C58" s="39">
        <v>111</v>
      </c>
      <c r="D58" s="49" t="s">
        <v>95</v>
      </c>
      <c r="E58" s="47"/>
      <c r="F58" s="51">
        <f>J58+N58+R58+V58</f>
        <v>2110.3</v>
      </c>
      <c r="G58" s="52">
        <v>109.8</v>
      </c>
      <c r="H58" s="52">
        <v>156.1</v>
      </c>
      <c r="I58" s="52">
        <v>156.2</v>
      </c>
      <c r="J58" s="51">
        <f>G58+H58+I58</f>
        <v>422.09999999999997</v>
      </c>
      <c r="K58" s="52">
        <v>151.4</v>
      </c>
      <c r="L58" s="52">
        <v>175.8</v>
      </c>
      <c r="M58" s="52">
        <v>200.4</v>
      </c>
      <c r="N58" s="51">
        <f>SUM(K58:M58)</f>
        <v>527.6</v>
      </c>
      <c r="O58" s="52">
        <v>175.8</v>
      </c>
      <c r="P58" s="52">
        <v>175.9</v>
      </c>
      <c r="Q58" s="52">
        <v>175.9</v>
      </c>
      <c r="R58" s="51">
        <f>SUM(O58:Q58)</f>
        <v>527.6</v>
      </c>
      <c r="S58" s="52">
        <v>211</v>
      </c>
      <c r="T58" s="52">
        <v>211</v>
      </c>
      <c r="U58" s="52">
        <v>211</v>
      </c>
      <c r="V58" s="51">
        <f t="shared" si="17"/>
        <v>633</v>
      </c>
    </row>
    <row r="59" spans="2:22" ht="33.75" customHeight="1">
      <c r="B59" s="41" t="s">
        <v>189</v>
      </c>
      <c r="C59" s="39">
        <v>240</v>
      </c>
      <c r="D59" s="49"/>
      <c r="E59" s="47"/>
      <c r="F59" s="51">
        <f>J59+N59+R59+V59</f>
        <v>1316</v>
      </c>
      <c r="G59" s="52">
        <f>G60+G62+G66</f>
        <v>92.1</v>
      </c>
      <c r="H59" s="52">
        <f>H60+H62+H66</f>
        <v>93.20000000000002</v>
      </c>
      <c r="I59" s="52">
        <f>I60+I62+I66</f>
        <v>94</v>
      </c>
      <c r="J59" s="51">
        <f>G59+H59+I59</f>
        <v>279.3</v>
      </c>
      <c r="K59" s="52">
        <f>K60+K62+K66</f>
        <v>82.4</v>
      </c>
      <c r="L59" s="52">
        <f>L60+L62+L66</f>
        <v>109.80000000000001</v>
      </c>
      <c r="M59" s="52">
        <f>M60+M62+M66</f>
        <v>137.2</v>
      </c>
      <c r="N59" s="51">
        <f>K59+L59+M59</f>
        <v>329.4</v>
      </c>
      <c r="O59" s="52">
        <f>O60+O62+O66</f>
        <v>73.8</v>
      </c>
      <c r="P59" s="52">
        <f>P60+P62+P66</f>
        <v>74.8</v>
      </c>
      <c r="Q59" s="52">
        <f>Q60+Q62+Q66</f>
        <v>74.8</v>
      </c>
      <c r="R59" s="51">
        <f>O59+P59+Q59</f>
        <v>223.39999999999998</v>
      </c>
      <c r="S59" s="52">
        <f>S60+S62+S66</f>
        <v>160.8</v>
      </c>
      <c r="T59" s="52">
        <f>T60+T62+T66</f>
        <v>161.50000000000003</v>
      </c>
      <c r="U59" s="52">
        <f>U60+U62+U66</f>
        <v>161.6</v>
      </c>
      <c r="V59" s="51">
        <f>S59+T59+U59</f>
        <v>483.9000000000001</v>
      </c>
    </row>
    <row r="60" spans="2:22" ht="12.75">
      <c r="B60" s="39" t="s">
        <v>96</v>
      </c>
      <c r="C60" s="39">
        <v>244</v>
      </c>
      <c r="D60" s="49" t="s">
        <v>97</v>
      </c>
      <c r="E60" s="47"/>
      <c r="F60" s="51">
        <f>J60+N60+R60+V60</f>
        <v>324.4</v>
      </c>
      <c r="G60" s="52">
        <v>21</v>
      </c>
      <c r="H60" s="52">
        <v>22</v>
      </c>
      <c r="I60" s="52">
        <v>22</v>
      </c>
      <c r="J60" s="51">
        <f>SUM(G60:I60)</f>
        <v>65</v>
      </c>
      <c r="K60" s="52">
        <v>27</v>
      </c>
      <c r="L60" s="52">
        <v>27</v>
      </c>
      <c r="M60" s="52">
        <v>27</v>
      </c>
      <c r="N60" s="51">
        <f>SUM(K60:M60)</f>
        <v>81</v>
      </c>
      <c r="O60" s="52">
        <v>27</v>
      </c>
      <c r="P60" s="52">
        <v>27</v>
      </c>
      <c r="Q60" s="52">
        <v>27</v>
      </c>
      <c r="R60" s="51">
        <f>SUM(O60:Q60)</f>
        <v>81</v>
      </c>
      <c r="S60" s="52">
        <v>32.4</v>
      </c>
      <c r="T60" s="52">
        <v>32.5</v>
      </c>
      <c r="U60" s="52">
        <v>32.5</v>
      </c>
      <c r="V60" s="51">
        <f>SUM(S60:U60)</f>
        <v>97.4</v>
      </c>
    </row>
    <row r="61" spans="2:22" ht="12.75" hidden="1">
      <c r="B61" s="39" t="s">
        <v>98</v>
      </c>
      <c r="C61" s="39">
        <v>244</v>
      </c>
      <c r="D61" s="49" t="s">
        <v>99</v>
      </c>
      <c r="E61" s="47"/>
      <c r="F61" s="51">
        <f>N61+R61+V61</f>
        <v>0</v>
      </c>
      <c r="G61" s="52"/>
      <c r="H61" s="52"/>
      <c r="I61" s="52"/>
      <c r="J61" s="51">
        <f>SUM(G61:I61)</f>
        <v>0</v>
      </c>
      <c r="K61" s="52"/>
      <c r="L61" s="52"/>
      <c r="M61" s="52"/>
      <c r="N61" s="51">
        <f>SUM(K61:M61)</f>
        <v>0</v>
      </c>
      <c r="O61" s="52"/>
      <c r="P61" s="52"/>
      <c r="Q61" s="52"/>
      <c r="R61" s="51">
        <f>SUM(O61:Q61)</f>
        <v>0</v>
      </c>
      <c r="S61" s="52"/>
      <c r="T61" s="52"/>
      <c r="U61" s="52"/>
      <c r="V61" s="51">
        <f>SUM(S61:U61)</f>
        <v>0</v>
      </c>
    </row>
    <row r="62" spans="2:22" ht="12.75">
      <c r="B62" s="39" t="s">
        <v>100</v>
      </c>
      <c r="C62" s="39">
        <v>244</v>
      </c>
      <c r="D62" s="49" t="s">
        <v>101</v>
      </c>
      <c r="E62" s="47"/>
      <c r="F62" s="51">
        <f aca="true" t="shared" si="18" ref="F62:F67">J62+N62+R62+V62</f>
        <v>674.8</v>
      </c>
      <c r="G62" s="52">
        <f>G63+G64+G65</f>
        <v>44.7</v>
      </c>
      <c r="H62" s="52">
        <f>H63+H64+H65</f>
        <v>44.800000000000004</v>
      </c>
      <c r="I62" s="52">
        <f>I63+I64+I65</f>
        <v>45.6</v>
      </c>
      <c r="J62" s="51">
        <f aca="true" t="shared" si="19" ref="J62:J67">SUM(G62:I62)</f>
        <v>135.1</v>
      </c>
      <c r="K62" s="52">
        <f>K63+K64+K65</f>
        <v>55.4</v>
      </c>
      <c r="L62" s="52">
        <f>L63+L64+L65</f>
        <v>56.4</v>
      </c>
      <c r="M62" s="52">
        <f>M63+M64+M65</f>
        <v>57.4</v>
      </c>
      <c r="N62" s="51">
        <f aca="true" t="shared" si="20" ref="N62:N67">SUM(K62:M62)</f>
        <v>169.2</v>
      </c>
      <c r="O62" s="52">
        <f>O63+O64+O65</f>
        <v>20.4</v>
      </c>
      <c r="P62" s="52">
        <f>P63+P64+P65</f>
        <v>21.4</v>
      </c>
      <c r="Q62" s="52">
        <f>Q63+Q64+Q65</f>
        <v>21.4</v>
      </c>
      <c r="R62" s="51">
        <f>SUM(O62:Q62)</f>
        <v>63.199999999999996</v>
      </c>
      <c r="S62" s="52">
        <f>S63+S64+S65</f>
        <v>102</v>
      </c>
      <c r="T62" s="52">
        <f>T63+T64+T65</f>
        <v>102.60000000000001</v>
      </c>
      <c r="U62" s="52">
        <f>U63+U64+U65</f>
        <v>102.7</v>
      </c>
      <c r="V62" s="51">
        <f aca="true" t="shared" si="21" ref="V62:V71">SUM(S62:U62)</f>
        <v>307.3</v>
      </c>
    </row>
    <row r="63" spans="2:22" ht="12.75">
      <c r="B63" s="39" t="s">
        <v>117</v>
      </c>
      <c r="C63" s="39">
        <v>244</v>
      </c>
      <c r="D63" s="49" t="s">
        <v>120</v>
      </c>
      <c r="E63" s="47"/>
      <c r="F63" s="51">
        <f t="shared" si="18"/>
        <v>422.1</v>
      </c>
      <c r="G63" s="52">
        <v>28.1</v>
      </c>
      <c r="H63" s="52">
        <v>28.1</v>
      </c>
      <c r="I63" s="52">
        <v>28.2</v>
      </c>
      <c r="J63" s="51">
        <f t="shared" si="19"/>
        <v>84.4</v>
      </c>
      <c r="K63" s="52">
        <v>35</v>
      </c>
      <c r="L63" s="52">
        <v>35</v>
      </c>
      <c r="M63" s="52">
        <v>36</v>
      </c>
      <c r="N63" s="51">
        <f t="shared" si="20"/>
        <v>106</v>
      </c>
      <c r="O63" s="52"/>
      <c r="P63" s="52"/>
      <c r="Q63" s="52"/>
      <c r="R63" s="51">
        <f>SUM(O63:Q63)</f>
        <v>0</v>
      </c>
      <c r="S63" s="52">
        <v>77.2</v>
      </c>
      <c r="T63" s="52">
        <v>77.2</v>
      </c>
      <c r="U63" s="52">
        <v>77.3</v>
      </c>
      <c r="V63" s="51">
        <f>SUM(S63:U63)</f>
        <v>231.7</v>
      </c>
    </row>
    <row r="64" spans="2:22" ht="12.75">
      <c r="B64" s="39" t="s">
        <v>118</v>
      </c>
      <c r="C64" s="39">
        <v>244</v>
      </c>
      <c r="D64" s="49" t="s">
        <v>121</v>
      </c>
      <c r="E64" s="47"/>
      <c r="F64" s="51">
        <f t="shared" si="18"/>
        <v>248</v>
      </c>
      <c r="G64" s="52">
        <v>16.3</v>
      </c>
      <c r="H64" s="52">
        <v>16.3</v>
      </c>
      <c r="I64" s="52">
        <v>17</v>
      </c>
      <c r="J64" s="51">
        <f t="shared" si="19"/>
        <v>49.6</v>
      </c>
      <c r="K64" s="52">
        <v>20</v>
      </c>
      <c r="L64" s="52">
        <v>21</v>
      </c>
      <c r="M64" s="52">
        <v>21</v>
      </c>
      <c r="N64" s="51">
        <f t="shared" si="20"/>
        <v>62</v>
      </c>
      <c r="O64" s="52">
        <v>20</v>
      </c>
      <c r="P64" s="52">
        <v>21</v>
      </c>
      <c r="Q64" s="52">
        <v>21</v>
      </c>
      <c r="R64" s="51">
        <f aca="true" t="shared" si="22" ref="R64:R71">SUM(O64:Q64)</f>
        <v>62</v>
      </c>
      <c r="S64" s="52">
        <v>24.4</v>
      </c>
      <c r="T64" s="52">
        <v>25</v>
      </c>
      <c r="U64" s="52">
        <v>25</v>
      </c>
      <c r="V64" s="51">
        <f t="shared" si="21"/>
        <v>74.4</v>
      </c>
    </row>
    <row r="65" spans="2:22" ht="12.75">
      <c r="B65" s="39" t="s">
        <v>119</v>
      </c>
      <c r="C65" s="39">
        <v>244</v>
      </c>
      <c r="D65" s="49" t="s">
        <v>122</v>
      </c>
      <c r="E65" s="47"/>
      <c r="F65" s="51">
        <f t="shared" si="18"/>
        <v>4.700000000000001</v>
      </c>
      <c r="G65" s="52">
        <v>0.3</v>
      </c>
      <c r="H65" s="52">
        <v>0.4</v>
      </c>
      <c r="I65" s="52">
        <v>0.4</v>
      </c>
      <c r="J65" s="51">
        <f t="shared" si="19"/>
        <v>1.1</v>
      </c>
      <c r="K65" s="52">
        <v>0.4</v>
      </c>
      <c r="L65" s="52">
        <v>0.4</v>
      </c>
      <c r="M65" s="52">
        <v>0.4</v>
      </c>
      <c r="N65" s="51">
        <f t="shared" si="20"/>
        <v>1.2000000000000002</v>
      </c>
      <c r="O65" s="52">
        <v>0.4</v>
      </c>
      <c r="P65" s="52">
        <v>0.4</v>
      </c>
      <c r="Q65" s="52">
        <v>0.4</v>
      </c>
      <c r="R65" s="51">
        <f t="shared" si="22"/>
        <v>1.2000000000000002</v>
      </c>
      <c r="S65" s="52">
        <v>0.4</v>
      </c>
      <c r="T65" s="52">
        <v>0.4</v>
      </c>
      <c r="U65" s="52">
        <v>0.4</v>
      </c>
      <c r="V65" s="51">
        <f t="shared" si="21"/>
        <v>1.2000000000000002</v>
      </c>
    </row>
    <row r="66" spans="2:22" ht="12.75">
      <c r="B66" s="39" t="s">
        <v>102</v>
      </c>
      <c r="C66" s="39">
        <v>244</v>
      </c>
      <c r="D66" s="49" t="s">
        <v>103</v>
      </c>
      <c r="E66" s="47"/>
      <c r="F66" s="51">
        <f t="shared" si="18"/>
        <v>316.79999999999995</v>
      </c>
      <c r="G66" s="52">
        <f>G67</f>
        <v>26.4</v>
      </c>
      <c r="H66" s="52">
        <f>H67</f>
        <v>26.4</v>
      </c>
      <c r="I66" s="52">
        <f>I67</f>
        <v>26.4</v>
      </c>
      <c r="J66" s="51">
        <f t="shared" si="19"/>
        <v>79.19999999999999</v>
      </c>
      <c r="K66" s="61">
        <f>K67</f>
        <v>0</v>
      </c>
      <c r="L66" s="52">
        <f>L67</f>
        <v>26.4</v>
      </c>
      <c r="M66" s="52">
        <f>M67</f>
        <v>52.8</v>
      </c>
      <c r="N66" s="51">
        <f t="shared" si="20"/>
        <v>79.19999999999999</v>
      </c>
      <c r="O66" s="52">
        <f>O67</f>
        <v>26.4</v>
      </c>
      <c r="P66" s="52">
        <f>P67</f>
        <v>26.4</v>
      </c>
      <c r="Q66" s="52">
        <f>Q67</f>
        <v>26.4</v>
      </c>
      <c r="R66" s="51">
        <f t="shared" si="22"/>
        <v>79.19999999999999</v>
      </c>
      <c r="S66" s="52">
        <f>S67</f>
        <v>26.4</v>
      </c>
      <c r="T66" s="52">
        <f>T67</f>
        <v>26.4</v>
      </c>
      <c r="U66" s="52">
        <f>U67</f>
        <v>26.4</v>
      </c>
      <c r="V66" s="51">
        <f t="shared" si="21"/>
        <v>79.19999999999999</v>
      </c>
    </row>
    <row r="67" spans="2:22" ht="12.75">
      <c r="B67" s="39" t="s">
        <v>137</v>
      </c>
      <c r="C67" s="39">
        <v>244</v>
      </c>
      <c r="D67" s="49" t="s">
        <v>103</v>
      </c>
      <c r="E67" s="47"/>
      <c r="F67" s="51">
        <f t="shared" si="18"/>
        <v>316.79999999999995</v>
      </c>
      <c r="G67" s="52">
        <v>26.4</v>
      </c>
      <c r="H67" s="52">
        <v>26.4</v>
      </c>
      <c r="I67" s="52">
        <v>26.4</v>
      </c>
      <c r="J67" s="51">
        <f t="shared" si="19"/>
        <v>79.19999999999999</v>
      </c>
      <c r="K67" s="61">
        <f>26.4-26.4</f>
        <v>0</v>
      </c>
      <c r="L67" s="52">
        <v>26.4</v>
      </c>
      <c r="M67" s="52">
        <f>26.4+26.4</f>
        <v>52.8</v>
      </c>
      <c r="N67" s="51">
        <f t="shared" si="20"/>
        <v>79.19999999999999</v>
      </c>
      <c r="O67" s="52">
        <v>26.4</v>
      </c>
      <c r="P67" s="52">
        <v>26.4</v>
      </c>
      <c r="Q67" s="52">
        <v>26.4</v>
      </c>
      <c r="R67" s="51">
        <f t="shared" si="22"/>
        <v>79.19999999999999</v>
      </c>
      <c r="S67" s="52">
        <v>26.4</v>
      </c>
      <c r="T67" s="52">
        <v>26.4</v>
      </c>
      <c r="U67" s="52">
        <v>26.4</v>
      </c>
      <c r="V67" s="51">
        <f t="shared" si="21"/>
        <v>79.19999999999999</v>
      </c>
    </row>
    <row r="68" spans="2:22" ht="42" customHeight="1">
      <c r="B68" s="41" t="s">
        <v>190</v>
      </c>
      <c r="C68" s="41">
        <v>240</v>
      </c>
      <c r="D68" s="99"/>
      <c r="E68" s="47"/>
      <c r="F68" s="57">
        <f>R68+V68+J68+N68</f>
        <v>810.1</v>
      </c>
      <c r="G68" s="53">
        <f>G69</f>
        <v>67</v>
      </c>
      <c r="H68" s="53">
        <f>H69</f>
        <v>67</v>
      </c>
      <c r="I68" s="53">
        <f>I69</f>
        <v>67.1</v>
      </c>
      <c r="J68" s="51">
        <f>G68+H68+I68</f>
        <v>201.1</v>
      </c>
      <c r="K68" s="65">
        <f>K69</f>
        <v>0</v>
      </c>
      <c r="L68" s="53">
        <f>L69</f>
        <v>67.7</v>
      </c>
      <c r="M68" s="53">
        <f>M69</f>
        <v>135.3</v>
      </c>
      <c r="N68" s="57">
        <f>K68+L68+M68</f>
        <v>203</v>
      </c>
      <c r="O68" s="53">
        <f>O69</f>
        <v>67.6</v>
      </c>
      <c r="P68" s="53">
        <f>P69</f>
        <v>67.7</v>
      </c>
      <c r="Q68" s="53">
        <f>Q69</f>
        <v>67.7</v>
      </c>
      <c r="R68" s="57">
        <f t="shared" si="22"/>
        <v>203</v>
      </c>
      <c r="S68" s="53">
        <f>S69</f>
        <v>67.6</v>
      </c>
      <c r="T68" s="53">
        <f>T69</f>
        <v>67.7</v>
      </c>
      <c r="U68" s="53">
        <f>U69</f>
        <v>67.7</v>
      </c>
      <c r="V68" s="57">
        <f t="shared" si="21"/>
        <v>203</v>
      </c>
    </row>
    <row r="69" spans="2:22" ht="12.75">
      <c r="B69" s="39" t="s">
        <v>138</v>
      </c>
      <c r="C69" s="39">
        <v>244</v>
      </c>
      <c r="D69" s="49" t="s">
        <v>105</v>
      </c>
      <c r="E69" s="47"/>
      <c r="F69" s="51">
        <f aca="true" t="shared" si="23" ref="F69:F74">J69+N69+R69+V69</f>
        <v>810.1</v>
      </c>
      <c r="G69" s="52">
        <v>67</v>
      </c>
      <c r="H69" s="52">
        <v>67</v>
      </c>
      <c r="I69" s="52">
        <v>67.1</v>
      </c>
      <c r="J69" s="51">
        <f aca="true" t="shared" si="24" ref="J69:J74">SUM(G69:I69)</f>
        <v>201.1</v>
      </c>
      <c r="K69" s="61">
        <f>67.6-67.6</f>
        <v>0</v>
      </c>
      <c r="L69" s="52">
        <v>67.7</v>
      </c>
      <c r="M69" s="52">
        <f>67.7+67.6</f>
        <v>135.3</v>
      </c>
      <c r="N69" s="51">
        <f aca="true" t="shared" si="25" ref="N69:N74">SUM(K69:M69)</f>
        <v>203</v>
      </c>
      <c r="O69" s="52">
        <v>67.6</v>
      </c>
      <c r="P69" s="52">
        <v>67.7</v>
      </c>
      <c r="Q69" s="52">
        <v>67.7</v>
      </c>
      <c r="R69" s="51">
        <f t="shared" si="22"/>
        <v>203</v>
      </c>
      <c r="S69" s="52">
        <v>67.6</v>
      </c>
      <c r="T69" s="52">
        <v>67.7</v>
      </c>
      <c r="U69" s="52">
        <v>67.7</v>
      </c>
      <c r="V69" s="51">
        <f t="shared" si="21"/>
        <v>203</v>
      </c>
    </row>
    <row r="70" spans="2:22" ht="30" customHeight="1">
      <c r="B70" s="41" t="s">
        <v>191</v>
      </c>
      <c r="C70" s="41">
        <v>850</v>
      </c>
      <c r="D70" s="99"/>
      <c r="E70" s="100"/>
      <c r="F70" s="57">
        <f t="shared" si="23"/>
        <v>996</v>
      </c>
      <c r="G70" s="53">
        <f>G71+G72+G73</f>
        <v>82.1</v>
      </c>
      <c r="H70" s="53">
        <f>H71+H72+H73</f>
        <v>83.2</v>
      </c>
      <c r="I70" s="53">
        <f>I71+I72+I73</f>
        <v>83.2</v>
      </c>
      <c r="J70" s="51">
        <f t="shared" si="24"/>
        <v>248.5</v>
      </c>
      <c r="K70" s="65">
        <f>K71+K72+K73</f>
        <v>0</v>
      </c>
      <c r="L70" s="53">
        <f>L71+L72+L73</f>
        <v>45.1</v>
      </c>
      <c r="M70" s="53">
        <f>M71+M72+M73</f>
        <v>89.12</v>
      </c>
      <c r="N70" s="57">
        <f t="shared" si="25"/>
        <v>134.22</v>
      </c>
      <c r="O70" s="53">
        <f>O71+O72+O73</f>
        <v>119.3</v>
      </c>
      <c r="P70" s="53">
        <f>P71+P72+P73</f>
        <v>119.3</v>
      </c>
      <c r="Q70" s="53">
        <f>Q71+Q72+Q73</f>
        <v>119.23</v>
      </c>
      <c r="R70" s="57">
        <f t="shared" si="22"/>
        <v>357.83</v>
      </c>
      <c r="S70" s="53">
        <f>S71+S72+S73</f>
        <v>85.1</v>
      </c>
      <c r="T70" s="53">
        <f>T71+T72+T73</f>
        <v>85.1</v>
      </c>
      <c r="U70" s="53">
        <f>U71+U72+U73</f>
        <v>85.25</v>
      </c>
      <c r="V70" s="57">
        <f t="shared" si="21"/>
        <v>255.45</v>
      </c>
    </row>
    <row r="71" spans="2:22" ht="12.75">
      <c r="B71" s="39" t="s">
        <v>106</v>
      </c>
      <c r="C71" s="39">
        <v>851</v>
      </c>
      <c r="D71" s="49" t="s">
        <v>107</v>
      </c>
      <c r="E71" s="47"/>
      <c r="F71" s="57">
        <f t="shared" si="23"/>
        <v>986</v>
      </c>
      <c r="G71" s="52">
        <v>82.1</v>
      </c>
      <c r="H71" s="52">
        <v>82.2</v>
      </c>
      <c r="I71" s="52">
        <v>82.2</v>
      </c>
      <c r="J71" s="51">
        <f t="shared" si="24"/>
        <v>246.5</v>
      </c>
      <c r="K71" s="61">
        <f>44.1-44.1</f>
        <v>0</v>
      </c>
      <c r="L71" s="52">
        <v>44.1</v>
      </c>
      <c r="M71" s="52">
        <f>44.02+44.1</f>
        <v>88.12</v>
      </c>
      <c r="N71" s="51">
        <f t="shared" si="25"/>
        <v>132.22</v>
      </c>
      <c r="O71" s="52">
        <v>118.3</v>
      </c>
      <c r="P71" s="52">
        <v>118.3</v>
      </c>
      <c r="Q71" s="52">
        <v>118.23</v>
      </c>
      <c r="R71" s="51">
        <f t="shared" si="22"/>
        <v>354.83</v>
      </c>
      <c r="S71" s="52">
        <v>84.1</v>
      </c>
      <c r="T71" s="52">
        <v>84.1</v>
      </c>
      <c r="U71" s="52">
        <v>84.25</v>
      </c>
      <c r="V71" s="51">
        <f t="shared" si="21"/>
        <v>252.45</v>
      </c>
    </row>
    <row r="72" spans="2:22" ht="12.75">
      <c r="B72" s="39" t="s">
        <v>106</v>
      </c>
      <c r="C72" s="39">
        <v>852</v>
      </c>
      <c r="D72" s="49" t="s">
        <v>107</v>
      </c>
      <c r="E72" s="47"/>
      <c r="F72" s="51">
        <f t="shared" si="23"/>
        <v>10</v>
      </c>
      <c r="G72" s="52"/>
      <c r="H72" s="52">
        <v>1</v>
      </c>
      <c r="I72" s="52">
        <v>1</v>
      </c>
      <c r="J72" s="51">
        <f t="shared" si="24"/>
        <v>2</v>
      </c>
      <c r="K72" s="61">
        <f>1-1</f>
        <v>0</v>
      </c>
      <c r="L72" s="52">
        <v>1</v>
      </c>
      <c r="M72" s="52">
        <v>1</v>
      </c>
      <c r="N72" s="51">
        <f t="shared" si="25"/>
        <v>2</v>
      </c>
      <c r="O72" s="52">
        <v>1</v>
      </c>
      <c r="P72" s="52">
        <v>1</v>
      </c>
      <c r="Q72" s="52">
        <v>1</v>
      </c>
      <c r="R72" s="51">
        <f aca="true" t="shared" si="26" ref="R72:R77">SUM(O72:Q72)</f>
        <v>3</v>
      </c>
      <c r="S72" s="52">
        <v>1</v>
      </c>
      <c r="T72" s="52">
        <v>1</v>
      </c>
      <c r="U72" s="52">
        <v>1</v>
      </c>
      <c r="V72" s="51">
        <f aca="true" t="shared" si="27" ref="V72:V77">SUM(S72:U72)</f>
        <v>3</v>
      </c>
    </row>
    <row r="73" spans="2:22" ht="12.75" hidden="1">
      <c r="B73" s="39" t="s">
        <v>106</v>
      </c>
      <c r="C73" s="39">
        <v>853</v>
      </c>
      <c r="D73" s="49" t="s">
        <v>107</v>
      </c>
      <c r="E73" s="47"/>
      <c r="F73" s="51">
        <f t="shared" si="23"/>
        <v>0</v>
      </c>
      <c r="G73" s="52"/>
      <c r="H73" s="52"/>
      <c r="I73" s="52"/>
      <c r="J73" s="51">
        <f t="shared" si="24"/>
        <v>0</v>
      </c>
      <c r="K73" s="61"/>
      <c r="L73" s="52"/>
      <c r="M73" s="52"/>
      <c r="N73" s="51">
        <f t="shared" si="25"/>
        <v>0</v>
      </c>
      <c r="O73" s="52"/>
      <c r="P73" s="52"/>
      <c r="Q73" s="52"/>
      <c r="R73" s="51">
        <f t="shared" si="26"/>
        <v>0</v>
      </c>
      <c r="S73" s="52"/>
      <c r="T73" s="52"/>
      <c r="U73" s="52"/>
      <c r="V73" s="51">
        <f t="shared" si="27"/>
        <v>0</v>
      </c>
    </row>
    <row r="74" spans="1:22" s="36" customFormat="1" ht="33" customHeight="1">
      <c r="A74" s="98" t="s">
        <v>280</v>
      </c>
      <c r="B74" s="41" t="s">
        <v>192</v>
      </c>
      <c r="C74" s="41">
        <v>240</v>
      </c>
      <c r="D74" s="49"/>
      <c r="E74" s="47"/>
      <c r="F74" s="57">
        <f t="shared" si="23"/>
        <v>100</v>
      </c>
      <c r="G74" s="53">
        <f>G75</f>
        <v>5</v>
      </c>
      <c r="H74" s="53">
        <f>H75</f>
        <v>10</v>
      </c>
      <c r="I74" s="53">
        <f>I75</f>
        <v>10</v>
      </c>
      <c r="J74" s="57">
        <f t="shared" si="24"/>
        <v>25</v>
      </c>
      <c r="K74" s="65">
        <f>K75</f>
        <v>0</v>
      </c>
      <c r="L74" s="53">
        <f>L75</f>
        <v>8</v>
      </c>
      <c r="M74" s="53">
        <f>M75</f>
        <v>17</v>
      </c>
      <c r="N74" s="57">
        <f t="shared" si="25"/>
        <v>25</v>
      </c>
      <c r="O74" s="53">
        <f>O75</f>
        <v>8</v>
      </c>
      <c r="P74" s="53">
        <f>P75</f>
        <v>8</v>
      </c>
      <c r="Q74" s="53">
        <f>Q75</f>
        <v>9</v>
      </c>
      <c r="R74" s="57">
        <f t="shared" si="26"/>
        <v>25</v>
      </c>
      <c r="S74" s="53">
        <f>S75</f>
        <v>8</v>
      </c>
      <c r="T74" s="53">
        <f>T75</f>
        <v>8</v>
      </c>
      <c r="U74" s="53">
        <f>U75</f>
        <v>9</v>
      </c>
      <c r="V74" s="57">
        <f t="shared" si="27"/>
        <v>25</v>
      </c>
    </row>
    <row r="75" spans="1:22" s="36" customFormat="1" ht="12.75">
      <c r="A75" s="98"/>
      <c r="B75" s="39" t="s">
        <v>108</v>
      </c>
      <c r="C75" s="39">
        <v>244</v>
      </c>
      <c r="D75" s="49" t="s">
        <v>109</v>
      </c>
      <c r="E75" s="47"/>
      <c r="F75" s="51">
        <f>R75+V75+N75+J75</f>
        <v>100</v>
      </c>
      <c r="G75" s="52">
        <v>5</v>
      </c>
      <c r="H75" s="52">
        <v>10</v>
      </c>
      <c r="I75" s="52">
        <v>10</v>
      </c>
      <c r="J75" s="51">
        <f>G75+H75+I75</f>
        <v>25</v>
      </c>
      <c r="K75" s="61">
        <f>8-8</f>
        <v>0</v>
      </c>
      <c r="L75" s="52">
        <v>8</v>
      </c>
      <c r="M75" s="52">
        <f>9+8</f>
        <v>17</v>
      </c>
      <c r="N75" s="51">
        <f>K75+L75+M75</f>
        <v>25</v>
      </c>
      <c r="O75" s="52">
        <v>8</v>
      </c>
      <c r="P75" s="52">
        <v>8</v>
      </c>
      <c r="Q75" s="52">
        <v>9</v>
      </c>
      <c r="R75" s="51">
        <f t="shared" si="26"/>
        <v>25</v>
      </c>
      <c r="S75" s="52">
        <v>8</v>
      </c>
      <c r="T75" s="52">
        <v>8</v>
      </c>
      <c r="U75" s="52">
        <v>9</v>
      </c>
      <c r="V75" s="51">
        <f t="shared" si="27"/>
        <v>25</v>
      </c>
    </row>
    <row r="76" spans="1:22" s="36" customFormat="1" ht="30.75" customHeight="1">
      <c r="A76" s="98"/>
      <c r="B76" s="41" t="s">
        <v>193</v>
      </c>
      <c r="C76" s="41">
        <v>240</v>
      </c>
      <c r="D76" s="49"/>
      <c r="E76" s="47"/>
      <c r="F76" s="57">
        <f aca="true" t="shared" si="28" ref="F76:F90">J76+N76+R76+V76</f>
        <v>250.8</v>
      </c>
      <c r="G76" s="53">
        <f>G77</f>
        <v>12.8</v>
      </c>
      <c r="H76" s="53">
        <f>H77</f>
        <v>14</v>
      </c>
      <c r="I76" s="53">
        <f>I77</f>
        <v>14</v>
      </c>
      <c r="J76" s="57">
        <f>SUM(G76:I76)</f>
        <v>40.8</v>
      </c>
      <c r="K76" s="65">
        <f>K77</f>
        <v>0</v>
      </c>
      <c r="L76" s="53">
        <f>L77</f>
        <v>24</v>
      </c>
      <c r="M76" s="53">
        <f>M77</f>
        <v>46</v>
      </c>
      <c r="N76" s="57">
        <f>SUM(K76:M76)</f>
        <v>70</v>
      </c>
      <c r="O76" s="53">
        <f>O77</f>
        <v>22</v>
      </c>
      <c r="P76" s="53">
        <f>P77</f>
        <v>24</v>
      </c>
      <c r="Q76" s="53">
        <f>Q77</f>
        <v>24</v>
      </c>
      <c r="R76" s="51">
        <f t="shared" si="26"/>
        <v>70</v>
      </c>
      <c r="S76" s="53">
        <f>S77</f>
        <v>22</v>
      </c>
      <c r="T76" s="53">
        <f>T77</f>
        <v>24</v>
      </c>
      <c r="U76" s="53">
        <f>U77</f>
        <v>24</v>
      </c>
      <c r="V76" s="57">
        <f t="shared" si="27"/>
        <v>70</v>
      </c>
    </row>
    <row r="77" spans="1:22" s="36" customFormat="1" ht="12.75">
      <c r="A77" s="98"/>
      <c r="B77" s="39" t="s">
        <v>139</v>
      </c>
      <c r="C77" s="39">
        <v>244</v>
      </c>
      <c r="D77" s="49" t="s">
        <v>124</v>
      </c>
      <c r="E77" s="47"/>
      <c r="F77" s="51">
        <f t="shared" si="28"/>
        <v>250.8</v>
      </c>
      <c r="G77" s="52">
        <v>12.8</v>
      </c>
      <c r="H77" s="52">
        <v>14</v>
      </c>
      <c r="I77" s="52">
        <v>14</v>
      </c>
      <c r="J77" s="51">
        <f>SUM(G77:I77)</f>
        <v>40.8</v>
      </c>
      <c r="K77" s="61">
        <f>22-22</f>
        <v>0</v>
      </c>
      <c r="L77" s="52">
        <v>24</v>
      </c>
      <c r="M77" s="52">
        <f>24+22</f>
        <v>46</v>
      </c>
      <c r="N77" s="51">
        <f>SUM(K77:M77)</f>
        <v>70</v>
      </c>
      <c r="O77" s="52">
        <v>22</v>
      </c>
      <c r="P77" s="52">
        <v>24</v>
      </c>
      <c r="Q77" s="52">
        <v>24</v>
      </c>
      <c r="R77" s="51">
        <f t="shared" si="26"/>
        <v>70</v>
      </c>
      <c r="S77" s="52">
        <v>22</v>
      </c>
      <c r="T77" s="52">
        <v>24</v>
      </c>
      <c r="U77" s="52">
        <v>24</v>
      </c>
      <c r="V77" s="51">
        <f t="shared" si="27"/>
        <v>70</v>
      </c>
    </row>
    <row r="78" spans="1:22" s="36" customFormat="1" ht="21">
      <c r="A78" s="98"/>
      <c r="B78" s="41" t="s">
        <v>194</v>
      </c>
      <c r="C78" s="41">
        <v>240</v>
      </c>
      <c r="D78" s="99"/>
      <c r="E78" s="100"/>
      <c r="F78" s="57">
        <f t="shared" si="28"/>
        <v>146.39999999999998</v>
      </c>
      <c r="G78" s="53">
        <f>G79</f>
        <v>12.2</v>
      </c>
      <c r="H78" s="53">
        <f>H79</f>
        <v>12.2</v>
      </c>
      <c r="I78" s="53">
        <f>I79</f>
        <v>12.2</v>
      </c>
      <c r="J78" s="57">
        <f>G78+H78+I78</f>
        <v>36.599999999999994</v>
      </c>
      <c r="K78" s="65">
        <f>K79</f>
        <v>0</v>
      </c>
      <c r="L78" s="53">
        <f>L79</f>
        <v>12.2</v>
      </c>
      <c r="M78" s="53">
        <f>M79</f>
        <v>24.4</v>
      </c>
      <c r="N78" s="57">
        <f>K78+L78+M78</f>
        <v>36.599999999999994</v>
      </c>
      <c r="O78" s="53">
        <f>O79</f>
        <v>12.2</v>
      </c>
      <c r="P78" s="53">
        <f>P79</f>
        <v>12.2</v>
      </c>
      <c r="Q78" s="53">
        <f>Q79</f>
        <v>12.2</v>
      </c>
      <c r="R78" s="57">
        <f>O78+P78+Q78</f>
        <v>36.599999999999994</v>
      </c>
      <c r="S78" s="53">
        <f>S79</f>
        <v>12.2</v>
      </c>
      <c r="T78" s="53">
        <f>T79</f>
        <v>12.2</v>
      </c>
      <c r="U78" s="53">
        <f>U79</f>
        <v>12.2</v>
      </c>
      <c r="V78" s="57">
        <f>S78+T78+U78</f>
        <v>36.599999999999994</v>
      </c>
    </row>
    <row r="79" spans="1:22" s="36" customFormat="1" ht="20.25" customHeight="1">
      <c r="A79" s="98"/>
      <c r="B79" s="39" t="s">
        <v>196</v>
      </c>
      <c r="C79" s="39">
        <v>244</v>
      </c>
      <c r="D79" s="49" t="s">
        <v>195</v>
      </c>
      <c r="E79" s="47"/>
      <c r="F79" s="51">
        <f t="shared" si="28"/>
        <v>146.39999999999998</v>
      </c>
      <c r="G79" s="52">
        <v>12.2</v>
      </c>
      <c r="H79" s="52">
        <v>12.2</v>
      </c>
      <c r="I79" s="52">
        <v>12.2</v>
      </c>
      <c r="J79" s="51">
        <f>SUM(G79:I79)</f>
        <v>36.599999999999994</v>
      </c>
      <c r="K79" s="61">
        <f>12.2-12.2</f>
        <v>0</v>
      </c>
      <c r="L79" s="52">
        <v>12.2</v>
      </c>
      <c r="M79" s="52">
        <f>12.2+12.2</f>
        <v>24.4</v>
      </c>
      <c r="N79" s="51">
        <f aca="true" t="shared" si="29" ref="N79:N90">SUM(K79:M79)</f>
        <v>36.599999999999994</v>
      </c>
      <c r="O79" s="52">
        <v>12.2</v>
      </c>
      <c r="P79" s="52">
        <v>12.2</v>
      </c>
      <c r="Q79" s="52">
        <v>12.2</v>
      </c>
      <c r="R79" s="51">
        <f aca="true" t="shared" si="30" ref="R79:R90">SUM(O79:Q79)</f>
        <v>36.599999999999994</v>
      </c>
      <c r="S79" s="52">
        <v>12.2</v>
      </c>
      <c r="T79" s="52">
        <v>12.2</v>
      </c>
      <c r="U79" s="52">
        <v>12.2</v>
      </c>
      <c r="V79" s="51">
        <f aca="true" t="shared" si="31" ref="V79:V90">SUM(S79:U79)</f>
        <v>36.599999999999994</v>
      </c>
    </row>
    <row r="80" spans="1:22" s="36" customFormat="1" ht="21.75" customHeight="1">
      <c r="A80" s="98"/>
      <c r="B80" s="41" t="s">
        <v>222</v>
      </c>
      <c r="C80" s="41">
        <v>850</v>
      </c>
      <c r="D80" s="99"/>
      <c r="E80" s="100"/>
      <c r="F80" s="57">
        <f>J80+N80+R80+V80</f>
        <v>15</v>
      </c>
      <c r="G80" s="53">
        <f>G81</f>
        <v>5</v>
      </c>
      <c r="H80" s="53">
        <f>H81</f>
        <v>5</v>
      </c>
      <c r="I80" s="53">
        <f>I81</f>
        <v>5</v>
      </c>
      <c r="J80" s="57">
        <f>G80+H80+I80</f>
        <v>15</v>
      </c>
      <c r="K80" s="65">
        <f>K81</f>
        <v>0</v>
      </c>
      <c r="L80" s="65">
        <f>L81</f>
        <v>0</v>
      </c>
      <c r="M80" s="65">
        <f>M81</f>
        <v>0</v>
      </c>
      <c r="N80" s="67">
        <f>K80+L80+M80</f>
        <v>0</v>
      </c>
      <c r="O80" s="65">
        <f>O81</f>
        <v>0</v>
      </c>
      <c r="P80" s="65">
        <f>P81</f>
        <v>0</v>
      </c>
      <c r="Q80" s="65">
        <f>Q81</f>
        <v>0</v>
      </c>
      <c r="R80" s="67">
        <f>O80+P80+Q80</f>
        <v>0</v>
      </c>
      <c r="S80" s="53">
        <f>S81</f>
        <v>0</v>
      </c>
      <c r="T80" s="53">
        <f>T81</f>
        <v>0</v>
      </c>
      <c r="U80" s="53">
        <f>U81</f>
        <v>0</v>
      </c>
      <c r="V80" s="57">
        <f>S80+T80+U80</f>
        <v>0</v>
      </c>
    </row>
    <row r="81" spans="1:22" s="36" customFormat="1" ht="14.25" customHeight="1">
      <c r="A81" s="98"/>
      <c r="B81" s="39" t="s">
        <v>106</v>
      </c>
      <c r="C81" s="39">
        <v>853</v>
      </c>
      <c r="D81" s="49" t="s">
        <v>107</v>
      </c>
      <c r="E81" s="47"/>
      <c r="F81" s="51">
        <f>J81+N81+R81+V81</f>
        <v>15</v>
      </c>
      <c r="G81" s="52">
        <v>5</v>
      </c>
      <c r="H81" s="52">
        <v>5</v>
      </c>
      <c r="I81" s="52">
        <v>5</v>
      </c>
      <c r="J81" s="51">
        <f aca="true" t="shared" si="32" ref="J81:J98">SUM(G81:I81)</f>
        <v>15</v>
      </c>
      <c r="K81" s="61">
        <v>0</v>
      </c>
      <c r="L81" s="61">
        <v>0</v>
      </c>
      <c r="M81" s="61">
        <v>0</v>
      </c>
      <c r="N81" s="60">
        <f>SUM(K81:M81)</f>
        <v>0</v>
      </c>
      <c r="O81" s="61">
        <v>0</v>
      </c>
      <c r="P81" s="61">
        <v>0</v>
      </c>
      <c r="Q81" s="61">
        <v>0</v>
      </c>
      <c r="R81" s="60">
        <f>SUM(O81:Q81)</f>
        <v>0</v>
      </c>
      <c r="S81" s="52"/>
      <c r="T81" s="52"/>
      <c r="U81" s="52"/>
      <c r="V81" s="51">
        <f>SUM(S81:U81)</f>
        <v>0</v>
      </c>
    </row>
    <row r="82" spans="1:22" s="36" customFormat="1" ht="60.75" customHeight="1" hidden="1">
      <c r="A82" s="98"/>
      <c r="B82" s="41" t="s">
        <v>268</v>
      </c>
      <c r="C82" s="41">
        <v>110</v>
      </c>
      <c r="D82" s="99" t="s">
        <v>113</v>
      </c>
      <c r="E82" s="47"/>
      <c r="F82" s="51">
        <f>J82+N82+R82+V82</f>
        <v>0</v>
      </c>
      <c r="G82" s="52">
        <f>G83+G84</f>
        <v>0</v>
      </c>
      <c r="H82" s="52">
        <f>H83+H84</f>
        <v>0</v>
      </c>
      <c r="I82" s="52">
        <f>I83+I84</f>
        <v>0</v>
      </c>
      <c r="J82" s="51">
        <f>G82+H82+I82</f>
        <v>0</v>
      </c>
      <c r="K82" s="52">
        <f>K83+K84</f>
        <v>0</v>
      </c>
      <c r="L82" s="52">
        <f>L83+L84</f>
        <v>0</v>
      </c>
      <c r="M82" s="52">
        <f>M83+M84</f>
        <v>0</v>
      </c>
      <c r="N82" s="51">
        <f>K82+L82+M82</f>
        <v>0</v>
      </c>
      <c r="O82" s="52">
        <f>O83+O84</f>
        <v>0</v>
      </c>
      <c r="P82" s="52">
        <f>P83+P84</f>
        <v>0</v>
      </c>
      <c r="Q82" s="52">
        <f>Q83+Q84</f>
        <v>0</v>
      </c>
      <c r="R82" s="51">
        <f>O82+P82+Q82</f>
        <v>0</v>
      </c>
      <c r="S82" s="52">
        <f>S83+S84</f>
        <v>0</v>
      </c>
      <c r="T82" s="52">
        <f>T83+T84</f>
        <v>0</v>
      </c>
      <c r="U82" s="52">
        <f>U83+U84</f>
        <v>0</v>
      </c>
      <c r="V82" s="51">
        <f>S82+T82+U82</f>
        <v>0</v>
      </c>
    </row>
    <row r="83" spans="1:22" s="36" customFormat="1" ht="14.25" customHeight="1" hidden="1">
      <c r="A83" s="98"/>
      <c r="B83" s="39" t="s">
        <v>90</v>
      </c>
      <c r="C83" s="39">
        <v>111</v>
      </c>
      <c r="D83" s="49" t="s">
        <v>91</v>
      </c>
      <c r="E83" s="47"/>
      <c r="F83" s="51">
        <f>J83+N83+R83+V83</f>
        <v>0</v>
      </c>
      <c r="G83" s="52"/>
      <c r="H83" s="52"/>
      <c r="I83" s="52"/>
      <c r="J83" s="51">
        <f>G83+H83+I83</f>
        <v>0</v>
      </c>
      <c r="K83" s="52"/>
      <c r="L83" s="52"/>
      <c r="M83" s="52"/>
      <c r="N83" s="51">
        <f>K83+L83+M83</f>
        <v>0</v>
      </c>
      <c r="O83" s="52"/>
      <c r="P83" s="52"/>
      <c r="Q83" s="52"/>
      <c r="R83" s="51">
        <f>O83+P83+Q83</f>
        <v>0</v>
      </c>
      <c r="S83" s="52"/>
      <c r="T83" s="52"/>
      <c r="U83" s="52"/>
      <c r="V83" s="51">
        <f>S83+T83+U83</f>
        <v>0</v>
      </c>
    </row>
    <row r="84" spans="1:22" s="36" customFormat="1" ht="14.25" customHeight="1" hidden="1">
      <c r="A84" s="98"/>
      <c r="B84" s="39" t="s">
        <v>94</v>
      </c>
      <c r="C84" s="39">
        <v>111</v>
      </c>
      <c r="D84" s="49" t="s">
        <v>95</v>
      </c>
      <c r="E84" s="47"/>
      <c r="F84" s="51">
        <f>J84+N84+R84+V84</f>
        <v>0</v>
      </c>
      <c r="G84" s="52"/>
      <c r="H84" s="52"/>
      <c r="I84" s="52"/>
      <c r="J84" s="51">
        <f>G84+H84+I84</f>
        <v>0</v>
      </c>
      <c r="K84" s="52"/>
      <c r="L84" s="52"/>
      <c r="M84" s="52"/>
      <c r="N84" s="51">
        <f>K84+L84+M84</f>
        <v>0</v>
      </c>
      <c r="O84" s="52"/>
      <c r="P84" s="52"/>
      <c r="Q84" s="52"/>
      <c r="R84" s="51">
        <f>O84+P84+Q84</f>
        <v>0</v>
      </c>
      <c r="S84" s="52"/>
      <c r="T84" s="52"/>
      <c r="U84" s="52"/>
      <c r="V84" s="51">
        <f>S84+T84+U84</f>
        <v>0</v>
      </c>
    </row>
    <row r="85" spans="1:22" s="36" customFormat="1" ht="45" customHeight="1">
      <c r="A85" s="98"/>
      <c r="B85" s="40" t="s">
        <v>210</v>
      </c>
      <c r="C85" s="40">
        <v>200</v>
      </c>
      <c r="D85" s="101"/>
      <c r="E85" s="88"/>
      <c r="F85" s="124">
        <f t="shared" si="28"/>
        <v>6.43</v>
      </c>
      <c r="G85" s="68">
        <f>G86+G87+G88</f>
        <v>0</v>
      </c>
      <c r="H85" s="68">
        <f>H86+H87+H88</f>
        <v>0</v>
      </c>
      <c r="I85" s="68">
        <f>I86+I87+I88</f>
        <v>0</v>
      </c>
      <c r="J85" s="69">
        <f t="shared" si="32"/>
        <v>0</v>
      </c>
      <c r="K85" s="68">
        <f>K86+K87+K88</f>
        <v>0</v>
      </c>
      <c r="L85" s="68">
        <f>L86+L87+L88</f>
        <v>0</v>
      </c>
      <c r="M85" s="68">
        <f>M86+M87+M88</f>
        <v>0</v>
      </c>
      <c r="N85" s="69">
        <f t="shared" si="29"/>
        <v>0</v>
      </c>
      <c r="O85" s="55">
        <f>O86+O87+O88</f>
        <v>6.43</v>
      </c>
      <c r="P85" s="68">
        <f>P86+P87+P88</f>
        <v>0</v>
      </c>
      <c r="Q85" s="68">
        <f>Q86+Q87+Q88</f>
        <v>0</v>
      </c>
      <c r="R85" s="124">
        <f t="shared" si="30"/>
        <v>6.43</v>
      </c>
      <c r="S85" s="68">
        <f>S86+S87+S88</f>
        <v>0</v>
      </c>
      <c r="T85" s="68">
        <f>T86+T87+T88</f>
        <v>0</v>
      </c>
      <c r="U85" s="68">
        <f>U86+U87+U88</f>
        <v>0</v>
      </c>
      <c r="V85" s="69">
        <f t="shared" si="31"/>
        <v>0</v>
      </c>
    </row>
    <row r="86" spans="1:22" s="36" customFormat="1" ht="12.75">
      <c r="A86" s="98"/>
      <c r="B86" s="39" t="s">
        <v>211</v>
      </c>
      <c r="C86" s="39">
        <v>244</v>
      </c>
      <c r="D86" s="49" t="s">
        <v>101</v>
      </c>
      <c r="E86" s="47"/>
      <c r="F86" s="57">
        <f t="shared" si="28"/>
        <v>0.93</v>
      </c>
      <c r="G86" s="61">
        <v>0</v>
      </c>
      <c r="H86" s="61">
        <v>0</v>
      </c>
      <c r="I86" s="61">
        <v>0</v>
      </c>
      <c r="J86" s="67">
        <f t="shared" si="32"/>
        <v>0</v>
      </c>
      <c r="K86" s="61">
        <v>0</v>
      </c>
      <c r="L86" s="61">
        <v>0</v>
      </c>
      <c r="M86" s="61">
        <v>0</v>
      </c>
      <c r="N86" s="67">
        <f t="shared" si="29"/>
        <v>0</v>
      </c>
      <c r="O86" s="52">
        <v>0.93</v>
      </c>
      <c r="P86" s="61">
        <v>0</v>
      </c>
      <c r="Q86" s="61">
        <v>0</v>
      </c>
      <c r="R86" s="57">
        <f t="shared" si="30"/>
        <v>0.93</v>
      </c>
      <c r="S86" s="61">
        <v>0</v>
      </c>
      <c r="T86" s="61">
        <v>0</v>
      </c>
      <c r="U86" s="61">
        <v>0</v>
      </c>
      <c r="V86" s="67">
        <f t="shared" si="31"/>
        <v>0</v>
      </c>
    </row>
    <row r="87" spans="1:22" s="36" customFormat="1" ht="15" customHeight="1">
      <c r="A87" s="98"/>
      <c r="B87" s="39" t="s">
        <v>212</v>
      </c>
      <c r="C87" s="39">
        <v>244</v>
      </c>
      <c r="D87" s="49" t="s">
        <v>103</v>
      </c>
      <c r="E87" s="47"/>
      <c r="F87" s="57">
        <f t="shared" si="28"/>
        <v>5.5</v>
      </c>
      <c r="G87" s="61">
        <v>0</v>
      </c>
      <c r="H87" s="61">
        <v>0</v>
      </c>
      <c r="I87" s="61">
        <v>0</v>
      </c>
      <c r="J87" s="67">
        <f t="shared" si="32"/>
        <v>0</v>
      </c>
      <c r="K87" s="61">
        <v>0</v>
      </c>
      <c r="L87" s="61">
        <v>0</v>
      </c>
      <c r="M87" s="61">
        <v>0</v>
      </c>
      <c r="N87" s="67">
        <f t="shared" si="29"/>
        <v>0</v>
      </c>
      <c r="O87" s="52">
        <v>5.5</v>
      </c>
      <c r="P87" s="61">
        <v>0</v>
      </c>
      <c r="Q87" s="61">
        <v>0</v>
      </c>
      <c r="R87" s="57">
        <f t="shared" si="30"/>
        <v>5.5</v>
      </c>
      <c r="S87" s="61">
        <v>0</v>
      </c>
      <c r="T87" s="61">
        <v>0</v>
      </c>
      <c r="U87" s="61">
        <v>0</v>
      </c>
      <c r="V87" s="67">
        <f t="shared" si="31"/>
        <v>0</v>
      </c>
    </row>
    <row r="88" spans="1:22" s="36" customFormat="1" ht="15" customHeight="1" hidden="1">
      <c r="A88" s="98"/>
      <c r="B88" s="39" t="s">
        <v>223</v>
      </c>
      <c r="C88" s="39">
        <v>244</v>
      </c>
      <c r="D88" s="49" t="s">
        <v>105</v>
      </c>
      <c r="E88" s="47"/>
      <c r="F88" s="57">
        <f>J88+N88+R88+V88</f>
        <v>0</v>
      </c>
      <c r="G88" s="52"/>
      <c r="H88" s="52"/>
      <c r="I88" s="52"/>
      <c r="J88" s="57">
        <f t="shared" si="32"/>
        <v>0</v>
      </c>
      <c r="K88" s="52"/>
      <c r="L88" s="52"/>
      <c r="M88" s="52"/>
      <c r="N88" s="57">
        <f>SUM(K88:M88)</f>
        <v>0</v>
      </c>
      <c r="O88" s="52"/>
      <c r="P88" s="52"/>
      <c r="Q88" s="52"/>
      <c r="R88" s="51">
        <f>SUM(O88:Q88)</f>
        <v>0</v>
      </c>
      <c r="S88" s="52"/>
      <c r="T88" s="52"/>
      <c r="U88" s="52"/>
      <c r="V88" s="57">
        <f>SUM(S88:U88)</f>
        <v>0</v>
      </c>
    </row>
    <row r="89" spans="1:22" s="36" customFormat="1" ht="42" customHeight="1">
      <c r="A89" s="98"/>
      <c r="B89" s="40" t="s">
        <v>203</v>
      </c>
      <c r="C89" s="40">
        <v>200</v>
      </c>
      <c r="D89" s="49"/>
      <c r="E89" s="47"/>
      <c r="F89" s="55">
        <f t="shared" si="28"/>
        <v>300</v>
      </c>
      <c r="G89" s="56">
        <f>G90</f>
        <v>25</v>
      </c>
      <c r="H89" s="56">
        <f>H90</f>
        <v>25</v>
      </c>
      <c r="I89" s="56">
        <f>I90</f>
        <v>25</v>
      </c>
      <c r="J89" s="55">
        <f t="shared" si="32"/>
        <v>75</v>
      </c>
      <c r="K89" s="75">
        <f>K90</f>
        <v>0</v>
      </c>
      <c r="L89" s="56">
        <f>L90</f>
        <v>25</v>
      </c>
      <c r="M89" s="56">
        <f>M90</f>
        <v>50</v>
      </c>
      <c r="N89" s="55">
        <f t="shared" si="29"/>
        <v>75</v>
      </c>
      <c r="O89" s="56">
        <f>O90</f>
        <v>25</v>
      </c>
      <c r="P89" s="56">
        <f>P90</f>
        <v>25</v>
      </c>
      <c r="Q89" s="56">
        <f>Q90</f>
        <v>25</v>
      </c>
      <c r="R89" s="55">
        <f t="shared" si="30"/>
        <v>75</v>
      </c>
      <c r="S89" s="56">
        <f>S90</f>
        <v>25</v>
      </c>
      <c r="T89" s="56">
        <f>T90</f>
        <v>25</v>
      </c>
      <c r="U89" s="56">
        <f>U90</f>
        <v>25</v>
      </c>
      <c r="V89" s="55">
        <f t="shared" si="31"/>
        <v>75</v>
      </c>
    </row>
    <row r="90" spans="1:22" s="36" customFormat="1" ht="15" customHeight="1">
      <c r="A90" s="98"/>
      <c r="B90" s="39" t="s">
        <v>147</v>
      </c>
      <c r="C90" s="39"/>
      <c r="D90" s="49"/>
      <c r="E90" s="47"/>
      <c r="F90" s="51">
        <f t="shared" si="28"/>
        <v>300</v>
      </c>
      <c r="G90" s="52">
        <v>25</v>
      </c>
      <c r="H90" s="52">
        <v>25</v>
      </c>
      <c r="I90" s="52">
        <v>25</v>
      </c>
      <c r="J90" s="51">
        <f t="shared" si="32"/>
        <v>75</v>
      </c>
      <c r="K90" s="61">
        <f>25-25</f>
        <v>0</v>
      </c>
      <c r="L90" s="52">
        <v>25</v>
      </c>
      <c r="M90" s="52">
        <f>25+25</f>
        <v>50</v>
      </c>
      <c r="N90" s="51">
        <f t="shared" si="29"/>
        <v>75</v>
      </c>
      <c r="O90" s="52">
        <v>25</v>
      </c>
      <c r="P90" s="52">
        <v>25</v>
      </c>
      <c r="Q90" s="52">
        <v>25</v>
      </c>
      <c r="R90" s="51">
        <f t="shared" si="30"/>
        <v>75</v>
      </c>
      <c r="S90" s="52">
        <v>25</v>
      </c>
      <c r="T90" s="52">
        <v>25</v>
      </c>
      <c r="U90" s="52">
        <v>25</v>
      </c>
      <c r="V90" s="51">
        <f t="shared" si="31"/>
        <v>75</v>
      </c>
    </row>
    <row r="91" spans="1:22" s="36" customFormat="1" ht="22.5" customHeight="1" hidden="1">
      <c r="A91" s="98"/>
      <c r="B91" s="40" t="s">
        <v>238</v>
      </c>
      <c r="C91" s="40">
        <v>831</v>
      </c>
      <c r="D91" s="49"/>
      <c r="E91" s="47"/>
      <c r="F91" s="55">
        <f>J91+N91+R91+V91</f>
        <v>0</v>
      </c>
      <c r="G91" s="56">
        <f>G92</f>
        <v>0</v>
      </c>
      <c r="H91" s="56">
        <f>H92</f>
        <v>0</v>
      </c>
      <c r="I91" s="56">
        <f>I92</f>
        <v>0</v>
      </c>
      <c r="J91" s="55">
        <f t="shared" si="32"/>
        <v>0</v>
      </c>
      <c r="K91" s="56">
        <f>K92</f>
        <v>0</v>
      </c>
      <c r="L91" s="56">
        <f>L92</f>
        <v>0</v>
      </c>
      <c r="M91" s="56">
        <f>M92</f>
        <v>0</v>
      </c>
      <c r="N91" s="55">
        <f>SUM(K91:M91)</f>
        <v>0</v>
      </c>
      <c r="O91" s="56">
        <f>O92</f>
        <v>0</v>
      </c>
      <c r="P91" s="56">
        <f>P92</f>
        <v>0</v>
      </c>
      <c r="Q91" s="56">
        <f>Q92</f>
        <v>0</v>
      </c>
      <c r="R91" s="55">
        <f>SUM(O91:Q91)</f>
        <v>0</v>
      </c>
      <c r="S91" s="56">
        <f>S92</f>
        <v>0</v>
      </c>
      <c r="T91" s="56">
        <f>T92</f>
        <v>0</v>
      </c>
      <c r="U91" s="56">
        <f>U92</f>
        <v>0</v>
      </c>
      <c r="V91" s="55">
        <f>SUM(S91:U91)</f>
        <v>0</v>
      </c>
    </row>
    <row r="92" spans="1:22" s="36" customFormat="1" ht="15" customHeight="1" hidden="1">
      <c r="A92" s="98"/>
      <c r="B92" s="39" t="s">
        <v>133</v>
      </c>
      <c r="C92" s="39"/>
      <c r="D92" s="49"/>
      <c r="E92" s="47"/>
      <c r="F92" s="51">
        <f>J92+N92+R92+V92</f>
        <v>0</v>
      </c>
      <c r="G92" s="52"/>
      <c r="H92" s="52"/>
      <c r="I92" s="52"/>
      <c r="J92" s="51">
        <f t="shared" si="32"/>
        <v>0</v>
      </c>
      <c r="K92" s="52"/>
      <c r="L92" s="52"/>
      <c r="M92" s="52"/>
      <c r="N92" s="51">
        <f>SUM(K92:M92)</f>
        <v>0</v>
      </c>
      <c r="O92" s="52"/>
      <c r="P92" s="52"/>
      <c r="Q92" s="52"/>
      <c r="R92" s="51">
        <f>SUM(O92:Q92)</f>
        <v>0</v>
      </c>
      <c r="S92" s="52"/>
      <c r="T92" s="52"/>
      <c r="U92" s="52"/>
      <c r="V92" s="51">
        <f>SUM(S92:U92)</f>
        <v>0</v>
      </c>
    </row>
    <row r="93" spans="1:22" s="36" customFormat="1" ht="22.5" customHeight="1" hidden="1">
      <c r="A93" s="98"/>
      <c r="B93" s="40" t="s">
        <v>247</v>
      </c>
      <c r="C93" s="40">
        <v>831</v>
      </c>
      <c r="D93" s="49"/>
      <c r="E93" s="47"/>
      <c r="F93" s="55">
        <f>J93+N93+R93+V93</f>
        <v>0</v>
      </c>
      <c r="G93" s="56">
        <f>G94</f>
        <v>0</v>
      </c>
      <c r="H93" s="56">
        <f>H94</f>
        <v>0</v>
      </c>
      <c r="I93" s="56">
        <f>I94</f>
        <v>0</v>
      </c>
      <c r="J93" s="55">
        <f t="shared" si="32"/>
        <v>0</v>
      </c>
      <c r="K93" s="56">
        <f>K94</f>
        <v>0</v>
      </c>
      <c r="L93" s="56">
        <f>L94</f>
        <v>0</v>
      </c>
      <c r="M93" s="56">
        <f>M94</f>
        <v>0</v>
      </c>
      <c r="N93" s="55">
        <f>SUM(K93:M93)</f>
        <v>0</v>
      </c>
      <c r="O93" s="56">
        <f>O94</f>
        <v>0</v>
      </c>
      <c r="P93" s="56">
        <f>P94</f>
        <v>0</v>
      </c>
      <c r="Q93" s="56">
        <f>Q94</f>
        <v>0</v>
      </c>
      <c r="R93" s="55">
        <f>SUM(O93:Q93)</f>
        <v>0</v>
      </c>
      <c r="S93" s="56">
        <f>S94</f>
        <v>0</v>
      </c>
      <c r="T93" s="56">
        <f>T94</f>
        <v>0</v>
      </c>
      <c r="U93" s="56">
        <f>U94</f>
        <v>0</v>
      </c>
      <c r="V93" s="55">
        <f>SUM(S93:U93)</f>
        <v>0</v>
      </c>
    </row>
    <row r="94" spans="1:22" s="36" customFormat="1" ht="15" customHeight="1" hidden="1">
      <c r="A94" s="98"/>
      <c r="B94" s="39" t="s">
        <v>133</v>
      </c>
      <c r="C94" s="39"/>
      <c r="D94" s="49"/>
      <c r="E94" s="47"/>
      <c r="F94" s="51">
        <f>J94+N94+R94+V94</f>
        <v>0</v>
      </c>
      <c r="G94" s="52"/>
      <c r="H94" s="52"/>
      <c r="I94" s="52"/>
      <c r="J94" s="51">
        <f t="shared" si="32"/>
        <v>0</v>
      </c>
      <c r="K94" s="52"/>
      <c r="L94" s="52"/>
      <c r="M94" s="52"/>
      <c r="N94" s="51">
        <f>SUM(K94:M94)</f>
        <v>0</v>
      </c>
      <c r="O94" s="52"/>
      <c r="P94" s="52"/>
      <c r="Q94" s="52"/>
      <c r="R94" s="51">
        <f>SUM(O94:Q94)</f>
        <v>0</v>
      </c>
      <c r="S94" s="52"/>
      <c r="T94" s="52"/>
      <c r="U94" s="52"/>
      <c r="V94" s="51">
        <f>SUM(S94:U94)</f>
        <v>0</v>
      </c>
    </row>
    <row r="95" spans="1:22" s="36" customFormat="1" ht="57" customHeight="1">
      <c r="A95" s="98"/>
      <c r="B95" s="40" t="s">
        <v>128</v>
      </c>
      <c r="C95" s="40"/>
      <c r="D95" s="101"/>
      <c r="E95" s="88"/>
      <c r="F95" s="50">
        <f>F96+F100</f>
        <v>607.5999999999999</v>
      </c>
      <c r="G95" s="50">
        <f>G96+G100</f>
        <v>50.5</v>
      </c>
      <c r="H95" s="50">
        <f>H96+H100</f>
        <v>50.6</v>
      </c>
      <c r="I95" s="50">
        <f>I96+I100</f>
        <v>50.699999999999996</v>
      </c>
      <c r="J95" s="50">
        <f t="shared" si="32"/>
        <v>151.79999999999998</v>
      </c>
      <c r="K95" s="50">
        <f>K96+K100</f>
        <v>43.7</v>
      </c>
      <c r="L95" s="50">
        <f aca="true" t="shared" si="33" ref="L95:V95">L96+L100</f>
        <v>50.6</v>
      </c>
      <c r="M95" s="50">
        <f t="shared" si="33"/>
        <v>57.599999999999994</v>
      </c>
      <c r="N95" s="50">
        <f t="shared" si="33"/>
        <v>151.90000000000003</v>
      </c>
      <c r="O95" s="50">
        <f t="shared" si="33"/>
        <v>50.6</v>
      </c>
      <c r="P95" s="50">
        <f t="shared" si="33"/>
        <v>50.6</v>
      </c>
      <c r="Q95" s="50">
        <f t="shared" si="33"/>
        <v>50.699999999999996</v>
      </c>
      <c r="R95" s="50">
        <f t="shared" si="33"/>
        <v>151.90000000000003</v>
      </c>
      <c r="S95" s="50">
        <f t="shared" si="33"/>
        <v>50.6</v>
      </c>
      <c r="T95" s="50">
        <f t="shared" si="33"/>
        <v>50.699999999999996</v>
      </c>
      <c r="U95" s="50">
        <f t="shared" si="33"/>
        <v>50.699999999999996</v>
      </c>
      <c r="V95" s="50">
        <f t="shared" si="33"/>
        <v>152</v>
      </c>
    </row>
    <row r="96" spans="1:22" s="36" customFormat="1" ht="19.5" customHeight="1">
      <c r="A96" s="98"/>
      <c r="B96" s="39" t="s">
        <v>112</v>
      </c>
      <c r="C96" s="39">
        <v>120</v>
      </c>
      <c r="D96" s="49" t="s">
        <v>113</v>
      </c>
      <c r="E96" s="47"/>
      <c r="F96" s="51">
        <f>F97+F99</f>
        <v>524.8</v>
      </c>
      <c r="G96" s="52">
        <f>SUM(G97:G99)</f>
        <v>43.6</v>
      </c>
      <c r="H96" s="52">
        <f>SUM(H97:H99)</f>
        <v>43.7</v>
      </c>
      <c r="I96" s="52">
        <f>SUM(I97:I99)</f>
        <v>43.8</v>
      </c>
      <c r="J96" s="51">
        <f t="shared" si="32"/>
        <v>131.10000000000002</v>
      </c>
      <c r="K96" s="52">
        <f aca="true" t="shared" si="34" ref="K96:V96">SUM(K97:K99)</f>
        <v>43.7</v>
      </c>
      <c r="L96" s="52">
        <f t="shared" si="34"/>
        <v>43.7</v>
      </c>
      <c r="M96" s="52">
        <f t="shared" si="34"/>
        <v>43.8</v>
      </c>
      <c r="N96" s="51">
        <f t="shared" si="34"/>
        <v>131.20000000000002</v>
      </c>
      <c r="O96" s="52">
        <f t="shared" si="34"/>
        <v>43.7</v>
      </c>
      <c r="P96" s="52">
        <f t="shared" si="34"/>
        <v>43.7</v>
      </c>
      <c r="Q96" s="52">
        <f t="shared" si="34"/>
        <v>43.8</v>
      </c>
      <c r="R96" s="51">
        <f t="shared" si="34"/>
        <v>131.20000000000002</v>
      </c>
      <c r="S96" s="52">
        <f t="shared" si="34"/>
        <v>43.7</v>
      </c>
      <c r="T96" s="52">
        <f t="shared" si="34"/>
        <v>43.8</v>
      </c>
      <c r="U96" s="52">
        <f t="shared" si="34"/>
        <v>43.8</v>
      </c>
      <c r="V96" s="51">
        <f t="shared" si="34"/>
        <v>131.3</v>
      </c>
    </row>
    <row r="97" spans="1:22" s="36" customFormat="1" ht="12.75">
      <c r="A97" s="98"/>
      <c r="B97" s="39" t="s">
        <v>90</v>
      </c>
      <c r="C97" s="39">
        <v>121</v>
      </c>
      <c r="D97" s="49" t="s">
        <v>91</v>
      </c>
      <c r="E97" s="47"/>
      <c r="F97" s="51">
        <f>J97+N97+R97+V97</f>
        <v>403.1</v>
      </c>
      <c r="G97" s="52">
        <v>33.5</v>
      </c>
      <c r="H97" s="52">
        <v>33.6</v>
      </c>
      <c r="I97" s="52">
        <v>33.6</v>
      </c>
      <c r="J97" s="51">
        <f t="shared" si="32"/>
        <v>100.69999999999999</v>
      </c>
      <c r="K97" s="52">
        <v>33.6</v>
      </c>
      <c r="L97" s="52">
        <v>33.6</v>
      </c>
      <c r="M97" s="52">
        <v>33.6</v>
      </c>
      <c r="N97" s="51">
        <f>SUM(K97:M97)</f>
        <v>100.80000000000001</v>
      </c>
      <c r="O97" s="52">
        <v>33.6</v>
      </c>
      <c r="P97" s="52">
        <v>33.6</v>
      </c>
      <c r="Q97" s="52">
        <v>33.6</v>
      </c>
      <c r="R97" s="51">
        <f>SUM(O97:Q97)</f>
        <v>100.80000000000001</v>
      </c>
      <c r="S97" s="52">
        <v>33.6</v>
      </c>
      <c r="T97" s="52">
        <v>33.6</v>
      </c>
      <c r="U97" s="52">
        <v>33.6</v>
      </c>
      <c r="V97" s="51">
        <f>SUM(S97:U97)</f>
        <v>100.80000000000001</v>
      </c>
    </row>
    <row r="98" spans="1:22" s="36" customFormat="1" ht="12.75" hidden="1">
      <c r="A98" s="98"/>
      <c r="B98" s="39" t="s">
        <v>92</v>
      </c>
      <c r="C98" s="39"/>
      <c r="D98" s="49" t="s">
        <v>93</v>
      </c>
      <c r="E98" s="47"/>
      <c r="F98" s="51">
        <f>J98+N98+R98+V98</f>
        <v>0</v>
      </c>
      <c r="G98" s="52"/>
      <c r="H98" s="52"/>
      <c r="I98" s="52"/>
      <c r="J98" s="51">
        <f t="shared" si="32"/>
        <v>0</v>
      </c>
      <c r="K98" s="52"/>
      <c r="L98" s="52"/>
      <c r="M98" s="52"/>
      <c r="N98" s="51">
        <f>SUM(K98:M98)</f>
        <v>0</v>
      </c>
      <c r="O98" s="52"/>
      <c r="P98" s="52"/>
      <c r="Q98" s="52"/>
      <c r="R98" s="51">
        <f>SUM(O98:Q98)</f>
        <v>0</v>
      </c>
      <c r="S98" s="52"/>
      <c r="T98" s="52"/>
      <c r="U98" s="52"/>
      <c r="V98" s="51">
        <f>SUM(S98:U98)</f>
        <v>0</v>
      </c>
    </row>
    <row r="99" spans="1:22" s="36" customFormat="1" ht="15" customHeight="1">
      <c r="A99" s="98"/>
      <c r="B99" s="39" t="s">
        <v>94</v>
      </c>
      <c r="C99" s="39">
        <v>121</v>
      </c>
      <c r="D99" s="49" t="s">
        <v>95</v>
      </c>
      <c r="E99" s="47"/>
      <c r="F99" s="51">
        <f>J99+N99+R99+V99</f>
        <v>121.69999999999999</v>
      </c>
      <c r="G99" s="52">
        <v>10.1</v>
      </c>
      <c r="H99" s="52">
        <v>10.1</v>
      </c>
      <c r="I99" s="52">
        <v>10.2</v>
      </c>
      <c r="J99" s="51">
        <f aca="true" t="shared" si="35" ref="J99:J104">SUM(G99:I99)</f>
        <v>30.4</v>
      </c>
      <c r="K99" s="52">
        <v>10.1</v>
      </c>
      <c r="L99" s="52">
        <v>10.1</v>
      </c>
      <c r="M99" s="52">
        <v>10.2</v>
      </c>
      <c r="N99" s="51">
        <f>SUM(K99:M99)</f>
        <v>30.4</v>
      </c>
      <c r="O99" s="52">
        <v>10.1</v>
      </c>
      <c r="P99" s="52">
        <v>10.1</v>
      </c>
      <c r="Q99" s="52">
        <v>10.2</v>
      </c>
      <c r="R99" s="51">
        <f aca="true" t="shared" si="36" ref="R99:R113">SUM(O99:Q99)</f>
        <v>30.4</v>
      </c>
      <c r="S99" s="52">
        <v>10.1</v>
      </c>
      <c r="T99" s="52">
        <v>10.2</v>
      </c>
      <c r="U99" s="52">
        <v>10.2</v>
      </c>
      <c r="V99" s="51">
        <f aca="true" t="shared" si="37" ref="V99:V104">SUM(S99:U99)</f>
        <v>30.499999999999996</v>
      </c>
    </row>
    <row r="100" spans="1:22" s="36" customFormat="1" ht="19.5" customHeight="1">
      <c r="A100" s="98"/>
      <c r="B100" s="39" t="s">
        <v>114</v>
      </c>
      <c r="C100" s="39">
        <v>240</v>
      </c>
      <c r="D100" s="49" t="s">
        <v>115</v>
      </c>
      <c r="E100" s="47"/>
      <c r="F100" s="51">
        <f>F101+F102</f>
        <v>82.80000000000001</v>
      </c>
      <c r="G100" s="52">
        <f>G101+G102</f>
        <v>6.9</v>
      </c>
      <c r="H100" s="52">
        <f>H101+H102</f>
        <v>6.9</v>
      </c>
      <c r="I100" s="52">
        <f>I101+I102</f>
        <v>6.9</v>
      </c>
      <c r="J100" s="51">
        <f t="shared" si="35"/>
        <v>20.700000000000003</v>
      </c>
      <c r="K100" s="61">
        <f aca="true" t="shared" si="38" ref="K100:Q100">K101+K102</f>
        <v>0</v>
      </c>
      <c r="L100" s="52">
        <f t="shared" si="38"/>
        <v>6.9</v>
      </c>
      <c r="M100" s="52">
        <f t="shared" si="38"/>
        <v>13.8</v>
      </c>
      <c r="N100" s="51">
        <f t="shared" si="38"/>
        <v>20.700000000000003</v>
      </c>
      <c r="O100" s="52">
        <f t="shared" si="38"/>
        <v>6.9</v>
      </c>
      <c r="P100" s="52">
        <f t="shared" si="38"/>
        <v>6.9</v>
      </c>
      <c r="Q100" s="52">
        <f t="shared" si="38"/>
        <v>6.9</v>
      </c>
      <c r="R100" s="51">
        <f t="shared" si="36"/>
        <v>20.700000000000003</v>
      </c>
      <c r="S100" s="52">
        <f>S101+S102</f>
        <v>6.9</v>
      </c>
      <c r="T100" s="52">
        <f>T101+T102</f>
        <v>6.9</v>
      </c>
      <c r="U100" s="52">
        <f>U101+U102</f>
        <v>6.9</v>
      </c>
      <c r="V100" s="51">
        <f t="shared" si="37"/>
        <v>20.700000000000003</v>
      </c>
    </row>
    <row r="101" spans="1:22" s="36" customFormat="1" ht="13.5" customHeight="1" hidden="1">
      <c r="A101" s="98"/>
      <c r="B101" s="39" t="s">
        <v>108</v>
      </c>
      <c r="C101" s="39"/>
      <c r="D101" s="49" t="s">
        <v>109</v>
      </c>
      <c r="E101" s="47"/>
      <c r="F101" s="51">
        <f>J101+N101+R101+V101</f>
        <v>0</v>
      </c>
      <c r="G101" s="52"/>
      <c r="H101" s="52"/>
      <c r="I101" s="52"/>
      <c r="J101" s="51">
        <f t="shared" si="35"/>
        <v>0</v>
      </c>
      <c r="K101" s="61"/>
      <c r="L101" s="52"/>
      <c r="M101" s="52"/>
      <c r="N101" s="51">
        <f aca="true" t="shared" si="39" ref="N101:N116">SUM(K101:M101)</f>
        <v>0</v>
      </c>
      <c r="O101" s="52"/>
      <c r="P101" s="52"/>
      <c r="Q101" s="52"/>
      <c r="R101" s="51">
        <f t="shared" si="36"/>
        <v>0</v>
      </c>
      <c r="S101" s="52"/>
      <c r="T101" s="52"/>
      <c r="U101" s="52"/>
      <c r="V101" s="51">
        <f t="shared" si="37"/>
        <v>0</v>
      </c>
    </row>
    <row r="102" spans="1:22" s="36" customFormat="1" ht="15" customHeight="1">
      <c r="A102" s="98"/>
      <c r="B102" s="39" t="s">
        <v>110</v>
      </c>
      <c r="C102" s="39">
        <v>240</v>
      </c>
      <c r="D102" s="49" t="s">
        <v>111</v>
      </c>
      <c r="E102" s="47"/>
      <c r="F102" s="51">
        <f>F103</f>
        <v>82.80000000000001</v>
      </c>
      <c r="G102" s="52">
        <f>G103</f>
        <v>6.9</v>
      </c>
      <c r="H102" s="52">
        <f>H103</f>
        <v>6.9</v>
      </c>
      <c r="I102" s="52">
        <f>I103</f>
        <v>6.9</v>
      </c>
      <c r="J102" s="51">
        <f t="shared" si="35"/>
        <v>20.700000000000003</v>
      </c>
      <c r="K102" s="61">
        <f>K103</f>
        <v>0</v>
      </c>
      <c r="L102" s="52">
        <f>L103</f>
        <v>6.9</v>
      </c>
      <c r="M102" s="52">
        <f>M103</f>
        <v>13.8</v>
      </c>
      <c r="N102" s="51">
        <f t="shared" si="39"/>
        <v>20.700000000000003</v>
      </c>
      <c r="O102" s="52">
        <f>O103</f>
        <v>6.9</v>
      </c>
      <c r="P102" s="52">
        <f>P103</f>
        <v>6.9</v>
      </c>
      <c r="Q102" s="52">
        <f>Q103</f>
        <v>6.9</v>
      </c>
      <c r="R102" s="51">
        <f t="shared" si="36"/>
        <v>20.700000000000003</v>
      </c>
      <c r="S102" s="52">
        <f>S103</f>
        <v>6.9</v>
      </c>
      <c r="T102" s="52">
        <f>T103</f>
        <v>6.9</v>
      </c>
      <c r="U102" s="52">
        <f>U103</f>
        <v>6.9</v>
      </c>
      <c r="V102" s="51">
        <f t="shared" si="37"/>
        <v>20.700000000000003</v>
      </c>
    </row>
    <row r="103" spans="1:22" s="36" customFormat="1" ht="12.75" customHeight="1">
      <c r="A103" s="98"/>
      <c r="B103" s="39" t="s">
        <v>116</v>
      </c>
      <c r="C103" s="39">
        <v>244</v>
      </c>
      <c r="D103" s="49" t="s">
        <v>123</v>
      </c>
      <c r="E103" s="47"/>
      <c r="F103" s="51">
        <f aca="true" t="shared" si="40" ref="F103:F120">J103+N103+R103+V103</f>
        <v>82.80000000000001</v>
      </c>
      <c r="G103" s="52">
        <v>6.9</v>
      </c>
      <c r="H103" s="52">
        <v>6.9</v>
      </c>
      <c r="I103" s="52">
        <v>6.9</v>
      </c>
      <c r="J103" s="51">
        <f t="shared" si="35"/>
        <v>20.700000000000003</v>
      </c>
      <c r="K103" s="61">
        <f>6.9-6.9</f>
        <v>0</v>
      </c>
      <c r="L103" s="52">
        <v>6.9</v>
      </c>
      <c r="M103" s="52">
        <f>6.9+6.9</f>
        <v>13.8</v>
      </c>
      <c r="N103" s="51">
        <f t="shared" si="39"/>
        <v>20.700000000000003</v>
      </c>
      <c r="O103" s="52">
        <v>6.9</v>
      </c>
      <c r="P103" s="52">
        <v>6.9</v>
      </c>
      <c r="Q103" s="52">
        <v>6.9</v>
      </c>
      <c r="R103" s="51">
        <f t="shared" si="36"/>
        <v>20.700000000000003</v>
      </c>
      <c r="S103" s="52">
        <v>6.9</v>
      </c>
      <c r="T103" s="52">
        <v>6.9</v>
      </c>
      <c r="U103" s="52">
        <v>6.9</v>
      </c>
      <c r="V103" s="51">
        <f t="shared" si="37"/>
        <v>20.700000000000003</v>
      </c>
    </row>
    <row r="104" spans="1:22" s="36" customFormat="1" ht="27.75" customHeight="1">
      <c r="A104" s="98"/>
      <c r="B104" s="40" t="s">
        <v>171</v>
      </c>
      <c r="C104" s="40"/>
      <c r="D104" s="101"/>
      <c r="E104" s="88"/>
      <c r="F104" s="50">
        <f t="shared" si="40"/>
        <v>939.01</v>
      </c>
      <c r="G104" s="50">
        <f>G105+G109+G107</f>
        <v>212.7</v>
      </c>
      <c r="H104" s="50">
        <f>H105+H109+H107</f>
        <v>3</v>
      </c>
      <c r="I104" s="50">
        <f>I105+I109+I107</f>
        <v>4</v>
      </c>
      <c r="J104" s="50">
        <f t="shared" si="35"/>
        <v>219.7</v>
      </c>
      <c r="K104" s="64">
        <f>K105+K109+K107</f>
        <v>0</v>
      </c>
      <c r="L104" s="50">
        <f>L105+L109+L107</f>
        <v>219.8</v>
      </c>
      <c r="M104" s="50">
        <f>M105+M109+M107</f>
        <v>20</v>
      </c>
      <c r="N104" s="50">
        <f t="shared" si="39"/>
        <v>239.8</v>
      </c>
      <c r="O104" s="50">
        <f>O105+O109+O107</f>
        <v>219.7</v>
      </c>
      <c r="P104" s="50">
        <f>P105+P109+P107</f>
        <v>10</v>
      </c>
      <c r="Q104" s="50">
        <f>Q105+Q109+Q107</f>
        <v>10</v>
      </c>
      <c r="R104" s="50">
        <f t="shared" si="36"/>
        <v>239.7</v>
      </c>
      <c r="S104" s="50">
        <f>S105+S109+S107</f>
        <v>10</v>
      </c>
      <c r="T104" s="50">
        <f>T105+T109+T107</f>
        <v>219.81</v>
      </c>
      <c r="U104" s="50">
        <f>U105+U109+U107</f>
        <v>10</v>
      </c>
      <c r="V104" s="50">
        <f t="shared" si="37"/>
        <v>239.81</v>
      </c>
    </row>
    <row r="105" spans="1:22" s="36" customFormat="1" ht="62.25" customHeight="1">
      <c r="A105" s="98"/>
      <c r="B105" s="40" t="s">
        <v>173</v>
      </c>
      <c r="C105" s="40">
        <v>500</v>
      </c>
      <c r="D105" s="101"/>
      <c r="E105" s="88"/>
      <c r="F105" s="51">
        <f t="shared" si="40"/>
        <v>839.01</v>
      </c>
      <c r="G105" s="52">
        <f>G106</f>
        <v>209.7</v>
      </c>
      <c r="H105" s="61">
        <f>H106</f>
        <v>0</v>
      </c>
      <c r="I105" s="61">
        <f>I106</f>
        <v>0</v>
      </c>
      <c r="J105" s="51">
        <f aca="true" t="shared" si="41" ref="J105:J111">SUM(G105:I105)</f>
        <v>209.7</v>
      </c>
      <c r="K105" s="61">
        <f>K106</f>
        <v>0</v>
      </c>
      <c r="L105" s="52">
        <f>L106</f>
        <v>209.8</v>
      </c>
      <c r="M105" s="61">
        <f>M106</f>
        <v>0</v>
      </c>
      <c r="N105" s="51">
        <f>SUM(K105:M105)</f>
        <v>209.8</v>
      </c>
      <c r="O105" s="52">
        <f>O106</f>
        <v>209.7</v>
      </c>
      <c r="P105" s="61">
        <f>P106</f>
        <v>0</v>
      </c>
      <c r="Q105" s="61">
        <f>Q106</f>
        <v>0</v>
      </c>
      <c r="R105" s="51">
        <f t="shared" si="36"/>
        <v>209.7</v>
      </c>
      <c r="S105" s="52">
        <f>S106</f>
        <v>0</v>
      </c>
      <c r="T105" s="52">
        <f>T106</f>
        <v>209.81</v>
      </c>
      <c r="U105" s="61">
        <f>U106</f>
        <v>0</v>
      </c>
      <c r="V105" s="51">
        <f aca="true" t="shared" si="42" ref="V105:V112">SUM(S105:U105)</f>
        <v>209.81</v>
      </c>
    </row>
    <row r="106" spans="1:22" s="36" customFormat="1" ht="13.5" customHeight="1">
      <c r="A106" s="98"/>
      <c r="B106" s="39" t="s">
        <v>172</v>
      </c>
      <c r="C106" s="39">
        <v>540</v>
      </c>
      <c r="D106" s="49" t="s">
        <v>130</v>
      </c>
      <c r="E106" s="47"/>
      <c r="F106" s="51">
        <f t="shared" si="40"/>
        <v>839.01</v>
      </c>
      <c r="G106" s="52">
        <v>209.7</v>
      </c>
      <c r="H106" s="61">
        <v>0</v>
      </c>
      <c r="I106" s="61">
        <v>0</v>
      </c>
      <c r="J106" s="51">
        <f t="shared" si="41"/>
        <v>209.7</v>
      </c>
      <c r="K106" s="61">
        <f>209.8-209.8</f>
        <v>0</v>
      </c>
      <c r="L106" s="52">
        <v>209.8</v>
      </c>
      <c r="M106" s="61">
        <v>0</v>
      </c>
      <c r="N106" s="51">
        <f t="shared" si="39"/>
        <v>209.8</v>
      </c>
      <c r="O106" s="52">
        <v>209.7</v>
      </c>
      <c r="P106" s="61">
        <v>0</v>
      </c>
      <c r="Q106" s="61">
        <v>0</v>
      </c>
      <c r="R106" s="51">
        <f t="shared" si="36"/>
        <v>209.7</v>
      </c>
      <c r="S106" s="52">
        <f>209.81-209.81</f>
        <v>0</v>
      </c>
      <c r="T106" s="52">
        <v>209.81</v>
      </c>
      <c r="U106" s="61">
        <v>0</v>
      </c>
      <c r="V106" s="51">
        <f t="shared" si="42"/>
        <v>209.81</v>
      </c>
    </row>
    <row r="107" spans="1:22" s="36" customFormat="1" ht="73.5" customHeight="1" hidden="1">
      <c r="A107" s="98"/>
      <c r="B107" s="40" t="s">
        <v>173</v>
      </c>
      <c r="C107" s="40">
        <v>500</v>
      </c>
      <c r="D107" s="101"/>
      <c r="E107" s="88"/>
      <c r="F107" s="51">
        <f>J107+N107+R107+V107</f>
        <v>0</v>
      </c>
      <c r="G107" s="52">
        <f>G108</f>
        <v>0</v>
      </c>
      <c r="H107" s="52">
        <f>H108</f>
        <v>0</v>
      </c>
      <c r="I107" s="52">
        <f>I108</f>
        <v>0</v>
      </c>
      <c r="J107" s="51">
        <f>SUM(G107:I107)</f>
        <v>0</v>
      </c>
      <c r="K107" s="52">
        <f>K108</f>
        <v>0</v>
      </c>
      <c r="L107" s="52">
        <f>L108</f>
        <v>0</v>
      </c>
      <c r="M107" s="52">
        <f>M108</f>
        <v>0</v>
      </c>
      <c r="N107" s="51">
        <f>SUM(K107:M107)</f>
        <v>0</v>
      </c>
      <c r="O107" s="52">
        <f>O108</f>
        <v>0</v>
      </c>
      <c r="P107" s="52">
        <f>P108</f>
        <v>0</v>
      </c>
      <c r="Q107" s="52">
        <f>Q108</f>
        <v>0</v>
      </c>
      <c r="R107" s="51">
        <f>SUM(O107:Q107)</f>
        <v>0</v>
      </c>
      <c r="S107" s="52">
        <f>S108</f>
        <v>0</v>
      </c>
      <c r="T107" s="52">
        <f>T108</f>
        <v>0</v>
      </c>
      <c r="U107" s="52">
        <f>U108</f>
        <v>0</v>
      </c>
      <c r="V107" s="51">
        <f>SUM(S107:U107)</f>
        <v>0</v>
      </c>
    </row>
    <row r="108" spans="1:22" s="36" customFormat="1" ht="13.5" customHeight="1" hidden="1">
      <c r="A108" s="98"/>
      <c r="B108" s="39" t="s">
        <v>172</v>
      </c>
      <c r="C108" s="39">
        <v>540</v>
      </c>
      <c r="D108" s="49" t="s">
        <v>130</v>
      </c>
      <c r="E108" s="47"/>
      <c r="F108" s="51">
        <f>J108+N108+R108+V108</f>
        <v>0</v>
      </c>
      <c r="G108" s="52"/>
      <c r="H108" s="52"/>
      <c r="I108" s="52"/>
      <c r="J108" s="51">
        <f>SUM(G108:I108)</f>
        <v>0</v>
      </c>
      <c r="K108" s="52"/>
      <c r="L108" s="52"/>
      <c r="M108" s="52"/>
      <c r="N108" s="51">
        <f>SUM(K108:M108)</f>
        <v>0</v>
      </c>
      <c r="O108" s="52"/>
      <c r="P108" s="52"/>
      <c r="Q108" s="52"/>
      <c r="R108" s="51">
        <f>SUM(O108:Q108)</f>
        <v>0</v>
      </c>
      <c r="S108" s="52"/>
      <c r="T108" s="52"/>
      <c r="U108" s="52"/>
      <c r="V108" s="51">
        <f>SUM(S108:U108)</f>
        <v>0</v>
      </c>
    </row>
    <row r="109" spans="1:22" s="36" customFormat="1" ht="38.25" customHeight="1">
      <c r="A109" s="98"/>
      <c r="B109" s="40" t="s">
        <v>312</v>
      </c>
      <c r="C109" s="40">
        <v>200</v>
      </c>
      <c r="D109" s="49"/>
      <c r="E109" s="47"/>
      <c r="F109" s="51">
        <f t="shared" si="40"/>
        <v>100</v>
      </c>
      <c r="G109" s="52">
        <f aca="true" t="shared" si="43" ref="G109:I110">G110</f>
        <v>3</v>
      </c>
      <c r="H109" s="52">
        <f t="shared" si="43"/>
        <v>3</v>
      </c>
      <c r="I109" s="52">
        <f t="shared" si="43"/>
        <v>4</v>
      </c>
      <c r="J109" s="51">
        <f t="shared" si="41"/>
        <v>10</v>
      </c>
      <c r="K109" s="61">
        <f aca="true" t="shared" si="44" ref="K109:M110">K110</f>
        <v>0</v>
      </c>
      <c r="L109" s="52">
        <f t="shared" si="44"/>
        <v>10</v>
      </c>
      <c r="M109" s="52">
        <f t="shared" si="44"/>
        <v>20</v>
      </c>
      <c r="N109" s="51">
        <f>SUM(K109:M109)</f>
        <v>30</v>
      </c>
      <c r="O109" s="52">
        <f aca="true" t="shared" si="45" ref="O109:Q110">O110</f>
        <v>10</v>
      </c>
      <c r="P109" s="52">
        <f t="shared" si="45"/>
        <v>10</v>
      </c>
      <c r="Q109" s="52">
        <f t="shared" si="45"/>
        <v>10</v>
      </c>
      <c r="R109" s="51">
        <f t="shared" si="36"/>
        <v>30</v>
      </c>
      <c r="S109" s="52">
        <f aca="true" t="shared" si="46" ref="S109:U110">S110</f>
        <v>10</v>
      </c>
      <c r="T109" s="52">
        <f t="shared" si="46"/>
        <v>10</v>
      </c>
      <c r="U109" s="52">
        <f t="shared" si="46"/>
        <v>10</v>
      </c>
      <c r="V109" s="51">
        <f t="shared" si="42"/>
        <v>30</v>
      </c>
    </row>
    <row r="110" spans="1:22" s="36" customFormat="1" ht="54" customHeight="1">
      <c r="A110" s="98"/>
      <c r="B110" s="41" t="s">
        <v>174</v>
      </c>
      <c r="C110" s="39">
        <v>240</v>
      </c>
      <c r="D110" s="49"/>
      <c r="E110" s="47"/>
      <c r="F110" s="57">
        <f t="shared" si="40"/>
        <v>100</v>
      </c>
      <c r="G110" s="53">
        <f t="shared" si="43"/>
        <v>3</v>
      </c>
      <c r="H110" s="53">
        <f t="shared" si="43"/>
        <v>3</v>
      </c>
      <c r="I110" s="53">
        <f t="shared" si="43"/>
        <v>4</v>
      </c>
      <c r="J110" s="57">
        <f t="shared" si="41"/>
        <v>10</v>
      </c>
      <c r="K110" s="65">
        <f t="shared" si="44"/>
        <v>0</v>
      </c>
      <c r="L110" s="53">
        <f t="shared" si="44"/>
        <v>10</v>
      </c>
      <c r="M110" s="53">
        <f t="shared" si="44"/>
        <v>20</v>
      </c>
      <c r="N110" s="57">
        <f>SUM(K110:M110)</f>
        <v>30</v>
      </c>
      <c r="O110" s="53">
        <f t="shared" si="45"/>
        <v>10</v>
      </c>
      <c r="P110" s="53">
        <f t="shared" si="45"/>
        <v>10</v>
      </c>
      <c r="Q110" s="53">
        <f t="shared" si="45"/>
        <v>10</v>
      </c>
      <c r="R110" s="57">
        <f t="shared" si="36"/>
        <v>30</v>
      </c>
      <c r="S110" s="53">
        <f t="shared" si="46"/>
        <v>10</v>
      </c>
      <c r="T110" s="52">
        <f t="shared" si="46"/>
        <v>10</v>
      </c>
      <c r="U110" s="53">
        <f t="shared" si="46"/>
        <v>10</v>
      </c>
      <c r="V110" s="57">
        <f t="shared" si="42"/>
        <v>30</v>
      </c>
    </row>
    <row r="111" spans="1:22" s="36" customFormat="1" ht="21.75" customHeight="1">
      <c r="A111" s="98"/>
      <c r="B111" s="39" t="s">
        <v>146</v>
      </c>
      <c r="C111" s="39">
        <v>244</v>
      </c>
      <c r="D111" s="49" t="s">
        <v>111</v>
      </c>
      <c r="E111" s="47"/>
      <c r="F111" s="52">
        <f t="shared" si="40"/>
        <v>100</v>
      </c>
      <c r="G111" s="52">
        <v>3</v>
      </c>
      <c r="H111" s="52">
        <v>3</v>
      </c>
      <c r="I111" s="52">
        <v>4</v>
      </c>
      <c r="J111" s="51">
        <f t="shared" si="41"/>
        <v>10</v>
      </c>
      <c r="K111" s="61">
        <f>10-10</f>
        <v>0</v>
      </c>
      <c r="L111" s="52">
        <v>10</v>
      </c>
      <c r="M111" s="52">
        <f>10+10</f>
        <v>20</v>
      </c>
      <c r="N111" s="51">
        <f>SUM(K111:M111)</f>
        <v>30</v>
      </c>
      <c r="O111" s="52">
        <v>10</v>
      </c>
      <c r="P111" s="52">
        <v>10</v>
      </c>
      <c r="Q111" s="52">
        <v>10</v>
      </c>
      <c r="R111" s="51">
        <f t="shared" si="36"/>
        <v>30</v>
      </c>
      <c r="S111" s="52">
        <v>10</v>
      </c>
      <c r="T111" s="52">
        <v>10</v>
      </c>
      <c r="U111" s="52">
        <v>10</v>
      </c>
      <c r="V111" s="51">
        <f t="shared" si="42"/>
        <v>30</v>
      </c>
    </row>
    <row r="112" spans="1:22" s="36" customFormat="1" ht="17.25" customHeight="1">
      <c r="A112" s="98"/>
      <c r="B112" s="40" t="s">
        <v>148</v>
      </c>
      <c r="C112" s="40"/>
      <c r="D112" s="49"/>
      <c r="E112" s="47"/>
      <c r="F112" s="50">
        <f>J112+N112+R112+V112</f>
        <v>14472.93</v>
      </c>
      <c r="G112" s="54">
        <f>G116+G137+G165+G148+G114+G145+G181+G167</f>
        <v>5000</v>
      </c>
      <c r="H112" s="54">
        <f>H116+H137+H165+H148+H114+H145+H181+H167</f>
        <v>160</v>
      </c>
      <c r="I112" s="54">
        <f>I116+I137+I165+I148+I114+I145+I181+I167</f>
        <v>320</v>
      </c>
      <c r="J112" s="50">
        <f>SUM(G112:I112)</f>
        <v>5480</v>
      </c>
      <c r="K112" s="66">
        <f>K116+K137+K165+K148+K114+K145+K181+K167</f>
        <v>0</v>
      </c>
      <c r="L112" s="54">
        <f>L116+L137+L165+L148+L114+L145+L181+L167</f>
        <v>644</v>
      </c>
      <c r="M112" s="54">
        <f>M116+M137+M165+M148+M114+M145+M181+M167</f>
        <v>1933.33</v>
      </c>
      <c r="N112" s="50">
        <f t="shared" si="39"/>
        <v>2577.33</v>
      </c>
      <c r="O112" s="54">
        <f>O116+O137+O165+O148+O114+O145+O181+O167</f>
        <v>1368.13</v>
      </c>
      <c r="P112" s="54">
        <f>P116+P137+P165+P148+P114+P145+P181+P167</f>
        <v>830</v>
      </c>
      <c r="Q112" s="54">
        <f>Q116+Q137+Q165+Q148+Q114+Q145+Q181+Q167</f>
        <v>1067.8200000000002</v>
      </c>
      <c r="R112" s="50">
        <f t="shared" si="36"/>
        <v>3265.9500000000003</v>
      </c>
      <c r="S112" s="54">
        <f>S116+S137+S165+S148+S114+S145+S181+S167</f>
        <v>780.24</v>
      </c>
      <c r="T112" s="54">
        <f>T116+T137+T165+T148+T114+T145+T181+T167</f>
        <v>1485.76</v>
      </c>
      <c r="U112" s="54">
        <f>U116+U137+U165+U148+U114+U145+U181+U167</f>
        <v>883.65</v>
      </c>
      <c r="V112" s="50">
        <f t="shared" si="42"/>
        <v>3149.65</v>
      </c>
    </row>
    <row r="113" spans="1:22" s="36" customFormat="1" ht="34.5" customHeight="1" hidden="1">
      <c r="A113" s="98"/>
      <c r="B113" s="40" t="s">
        <v>186</v>
      </c>
      <c r="C113" s="40">
        <v>200</v>
      </c>
      <c r="D113" s="49"/>
      <c r="E113" s="47"/>
      <c r="F113" s="51">
        <f t="shared" si="40"/>
        <v>0</v>
      </c>
      <c r="G113" s="52">
        <f aca="true" t="shared" si="47" ref="G113:I114">G114</f>
        <v>0</v>
      </c>
      <c r="H113" s="52">
        <f t="shared" si="47"/>
        <v>0</v>
      </c>
      <c r="I113" s="52">
        <f t="shared" si="47"/>
        <v>0</v>
      </c>
      <c r="J113" s="51">
        <f>SUM(G113:I113)</f>
        <v>0</v>
      </c>
      <c r="K113" s="52">
        <f aca="true" t="shared" si="48" ref="K113:M114">K114</f>
        <v>0</v>
      </c>
      <c r="L113" s="52">
        <f t="shared" si="48"/>
        <v>0</v>
      </c>
      <c r="M113" s="52">
        <f t="shared" si="48"/>
        <v>0</v>
      </c>
      <c r="N113" s="51">
        <f t="shared" si="39"/>
        <v>0</v>
      </c>
      <c r="O113" s="52">
        <f aca="true" t="shared" si="49" ref="O113:Q114">O114</f>
        <v>0</v>
      </c>
      <c r="P113" s="52">
        <f t="shared" si="49"/>
        <v>0</v>
      </c>
      <c r="Q113" s="52">
        <f t="shared" si="49"/>
        <v>0</v>
      </c>
      <c r="R113" s="51">
        <f t="shared" si="36"/>
        <v>0</v>
      </c>
      <c r="S113" s="52">
        <f aca="true" t="shared" si="50" ref="S113:U114">S114</f>
        <v>0</v>
      </c>
      <c r="T113" s="52">
        <f t="shared" si="50"/>
        <v>0</v>
      </c>
      <c r="U113" s="52">
        <f t="shared" si="50"/>
        <v>0</v>
      </c>
      <c r="V113" s="51">
        <f>SUM(S113:U113)</f>
        <v>0</v>
      </c>
    </row>
    <row r="114" spans="1:22" s="36" customFormat="1" ht="43.5" customHeight="1" hidden="1">
      <c r="A114" s="98"/>
      <c r="B114" s="41" t="s">
        <v>230</v>
      </c>
      <c r="C114" s="41">
        <v>240</v>
      </c>
      <c r="D114" s="99"/>
      <c r="E114" s="100"/>
      <c r="F114" s="51">
        <f t="shared" si="40"/>
        <v>0</v>
      </c>
      <c r="G114" s="53">
        <f t="shared" si="47"/>
        <v>0</v>
      </c>
      <c r="H114" s="53">
        <f t="shared" si="47"/>
        <v>0</v>
      </c>
      <c r="I114" s="53">
        <f t="shared" si="47"/>
        <v>0</v>
      </c>
      <c r="J114" s="57">
        <f>G114+H114+I114</f>
        <v>0</v>
      </c>
      <c r="K114" s="53">
        <f t="shared" si="48"/>
        <v>0</v>
      </c>
      <c r="L114" s="53">
        <f t="shared" si="48"/>
        <v>0</v>
      </c>
      <c r="M114" s="53">
        <f t="shared" si="48"/>
        <v>0</v>
      </c>
      <c r="N114" s="57">
        <f>K114+L114+M114</f>
        <v>0</v>
      </c>
      <c r="O114" s="53">
        <f t="shared" si="49"/>
        <v>0</v>
      </c>
      <c r="P114" s="53">
        <f t="shared" si="49"/>
        <v>0</v>
      </c>
      <c r="Q114" s="53">
        <f t="shared" si="49"/>
        <v>0</v>
      </c>
      <c r="R114" s="51">
        <f>O114+P114+Q114</f>
        <v>0</v>
      </c>
      <c r="S114" s="53">
        <f t="shared" si="50"/>
        <v>0</v>
      </c>
      <c r="T114" s="53">
        <f t="shared" si="50"/>
        <v>0</v>
      </c>
      <c r="U114" s="53">
        <f t="shared" si="50"/>
        <v>0</v>
      </c>
      <c r="V114" s="57">
        <f aca="true" t="shared" si="51" ref="V114:V120">S114+T114+U114</f>
        <v>0</v>
      </c>
    </row>
    <row r="115" spans="1:22" s="36" customFormat="1" ht="13.5" customHeight="1" hidden="1">
      <c r="A115" s="98"/>
      <c r="B115" s="39" t="s">
        <v>147</v>
      </c>
      <c r="C115" s="39">
        <v>244</v>
      </c>
      <c r="D115" s="49" t="s">
        <v>105</v>
      </c>
      <c r="E115" s="47"/>
      <c r="F115" s="51">
        <f t="shared" si="40"/>
        <v>0</v>
      </c>
      <c r="G115" s="52"/>
      <c r="H115" s="52"/>
      <c r="I115" s="52"/>
      <c r="J115" s="57">
        <f>G115+H115+I115</f>
        <v>0</v>
      </c>
      <c r="K115" s="52"/>
      <c r="L115" s="52"/>
      <c r="M115" s="52"/>
      <c r="N115" s="57">
        <f>K115+L115+M115</f>
        <v>0</v>
      </c>
      <c r="O115" s="52"/>
      <c r="P115" s="52"/>
      <c r="Q115" s="52"/>
      <c r="R115" s="51">
        <f>O115+P115+Q115</f>
        <v>0</v>
      </c>
      <c r="S115" s="52"/>
      <c r="T115" s="52"/>
      <c r="U115" s="52"/>
      <c r="V115" s="57">
        <f t="shared" si="51"/>
        <v>0</v>
      </c>
    </row>
    <row r="116" spans="1:22" s="36" customFormat="1" ht="57" customHeight="1" hidden="1">
      <c r="A116" s="98"/>
      <c r="B116" s="40" t="s">
        <v>170</v>
      </c>
      <c r="C116" s="40">
        <v>200</v>
      </c>
      <c r="D116" s="49"/>
      <c r="E116" s="47"/>
      <c r="F116" s="51">
        <f t="shared" si="40"/>
        <v>0</v>
      </c>
      <c r="G116" s="52">
        <f>G117+G119+G121+G125+G127+G129+G131+G123+G133+G135</f>
        <v>0</v>
      </c>
      <c r="H116" s="52">
        <f>H117+H119+H121+H125+H127+H129+H131+H123+H133+H135</f>
        <v>0</v>
      </c>
      <c r="I116" s="52">
        <f>I117+I119+I121+I125+I127+I129+I131+I123+I133+I135</f>
        <v>0</v>
      </c>
      <c r="J116" s="51">
        <f aca="true" t="shared" si="52" ref="J116:J132">G116+H116+I116</f>
        <v>0</v>
      </c>
      <c r="K116" s="52">
        <f>K117+K119+K121+K125+K127+K129+K131+K123+K133+K135</f>
        <v>0</v>
      </c>
      <c r="L116" s="52">
        <f>L117+L119+L121+L125+L127+L129+L131+L123+L133+L135</f>
        <v>0</v>
      </c>
      <c r="M116" s="52">
        <f>M117+M119+M121+M125+M127+M129+M131+M123+M133+M135</f>
        <v>0</v>
      </c>
      <c r="N116" s="51">
        <f t="shared" si="39"/>
        <v>0</v>
      </c>
      <c r="O116" s="52">
        <f>O117+O119+O121+O125+O127+O129+O131+O123+O133+O135</f>
        <v>0</v>
      </c>
      <c r="P116" s="52">
        <f>P117+P119+P121+P125+P127+P129+P131+P123+P133+P135</f>
        <v>0</v>
      </c>
      <c r="Q116" s="52">
        <f>Q117+Q119+Q121+Q125+Q127+Q129+Q131+Q123+Q133+Q135</f>
        <v>0</v>
      </c>
      <c r="R116" s="51">
        <f>R117+R119+R121+R125+R127+R129+R131+R123+R133+R136</f>
        <v>0</v>
      </c>
      <c r="S116" s="52">
        <f>S117+S119+S121+S125+S127+S129+S131+S123+S133+S135</f>
        <v>0</v>
      </c>
      <c r="T116" s="52">
        <f>T117+T119+T121+T125+T127+T129+T131+T123+T133+T135</f>
        <v>0</v>
      </c>
      <c r="U116" s="52">
        <f>U117+U119+U121+U125+U127+U129+U131+U123+U133+U135</f>
        <v>0</v>
      </c>
      <c r="V116" s="51">
        <f>S116+T116+U116</f>
        <v>0</v>
      </c>
    </row>
    <row r="117" spans="1:22" s="36" customFormat="1" ht="45" customHeight="1" hidden="1">
      <c r="A117" s="98"/>
      <c r="B117" s="41" t="s">
        <v>175</v>
      </c>
      <c r="C117" s="41">
        <v>240</v>
      </c>
      <c r="D117" s="99"/>
      <c r="E117" s="100"/>
      <c r="F117" s="57">
        <f>J117+N117+R117+V117</f>
        <v>0</v>
      </c>
      <c r="G117" s="53">
        <f>G118</f>
        <v>0</v>
      </c>
      <c r="H117" s="53">
        <f>H118</f>
        <v>0</v>
      </c>
      <c r="I117" s="53">
        <f>I118</f>
        <v>0</v>
      </c>
      <c r="J117" s="57">
        <f t="shared" si="52"/>
        <v>0</v>
      </c>
      <c r="K117" s="53">
        <f>K118</f>
        <v>0</v>
      </c>
      <c r="L117" s="53">
        <f>L118</f>
        <v>0</v>
      </c>
      <c r="M117" s="53">
        <f>M118</f>
        <v>0</v>
      </c>
      <c r="N117" s="57">
        <f aca="true" t="shared" si="53" ref="N117:N139">SUM(K117:M117)</f>
        <v>0</v>
      </c>
      <c r="O117" s="53">
        <f>O118</f>
        <v>0</v>
      </c>
      <c r="P117" s="53">
        <f>P118</f>
        <v>0</v>
      </c>
      <c r="Q117" s="53">
        <f>Q118</f>
        <v>0</v>
      </c>
      <c r="R117" s="57">
        <f>SUM(O117:Q117)</f>
        <v>0</v>
      </c>
      <c r="S117" s="53">
        <f>S118</f>
        <v>0</v>
      </c>
      <c r="T117" s="53">
        <f>T118</f>
        <v>0</v>
      </c>
      <c r="U117" s="53">
        <f>U118</f>
        <v>0</v>
      </c>
      <c r="V117" s="57">
        <f t="shared" si="51"/>
        <v>0</v>
      </c>
    </row>
    <row r="118" spans="1:22" s="36" customFormat="1" ht="13.5" customHeight="1" hidden="1">
      <c r="A118" s="98"/>
      <c r="B118" s="39" t="s">
        <v>176</v>
      </c>
      <c r="C118" s="39">
        <v>244</v>
      </c>
      <c r="D118" s="49" t="s">
        <v>103</v>
      </c>
      <c r="E118" s="47"/>
      <c r="F118" s="52">
        <f t="shared" si="40"/>
        <v>0</v>
      </c>
      <c r="G118" s="52"/>
      <c r="H118" s="52"/>
      <c r="I118" s="52"/>
      <c r="J118" s="52">
        <f t="shared" si="52"/>
        <v>0</v>
      </c>
      <c r="K118" s="52"/>
      <c r="L118" s="52"/>
      <c r="M118" s="52"/>
      <c r="N118" s="52">
        <f t="shared" si="53"/>
        <v>0</v>
      </c>
      <c r="O118" s="52"/>
      <c r="P118" s="52"/>
      <c r="Q118" s="52"/>
      <c r="R118" s="52">
        <f>SUM(O118:Q118)</f>
        <v>0</v>
      </c>
      <c r="S118" s="52"/>
      <c r="T118" s="52"/>
      <c r="U118" s="52"/>
      <c r="V118" s="52">
        <f t="shared" si="51"/>
        <v>0</v>
      </c>
    </row>
    <row r="119" spans="1:22" s="36" customFormat="1" ht="54.75" customHeight="1" hidden="1">
      <c r="A119" s="98"/>
      <c r="B119" s="41" t="s">
        <v>177</v>
      </c>
      <c r="C119" s="41">
        <v>240</v>
      </c>
      <c r="D119" s="99"/>
      <c r="E119" s="47"/>
      <c r="F119" s="57">
        <f t="shared" si="40"/>
        <v>0</v>
      </c>
      <c r="G119" s="53">
        <f>G120</f>
        <v>0</v>
      </c>
      <c r="H119" s="53">
        <f>H120</f>
        <v>0</v>
      </c>
      <c r="I119" s="53">
        <f>I120</f>
        <v>0</v>
      </c>
      <c r="J119" s="57">
        <f t="shared" si="52"/>
        <v>0</v>
      </c>
      <c r="K119" s="53">
        <f>K120</f>
        <v>0</v>
      </c>
      <c r="L119" s="53">
        <f>L120</f>
        <v>0</v>
      </c>
      <c r="M119" s="53">
        <f>M120</f>
        <v>0</v>
      </c>
      <c r="N119" s="57">
        <f t="shared" si="53"/>
        <v>0</v>
      </c>
      <c r="O119" s="53">
        <f>O120</f>
        <v>0</v>
      </c>
      <c r="P119" s="53">
        <f>P120</f>
        <v>0</v>
      </c>
      <c r="Q119" s="53">
        <f>Q120</f>
        <v>0</v>
      </c>
      <c r="R119" s="57">
        <f>SUM(O119:Q119)</f>
        <v>0</v>
      </c>
      <c r="S119" s="53">
        <f>S120</f>
        <v>0</v>
      </c>
      <c r="T119" s="53">
        <f>T120</f>
        <v>0</v>
      </c>
      <c r="U119" s="53">
        <f>U120</f>
        <v>0</v>
      </c>
      <c r="V119" s="57">
        <f t="shared" si="51"/>
        <v>0</v>
      </c>
    </row>
    <row r="120" spans="1:22" s="36" customFormat="1" ht="12" customHeight="1" hidden="1">
      <c r="A120" s="98"/>
      <c r="B120" s="39" t="s">
        <v>147</v>
      </c>
      <c r="C120" s="39">
        <v>244</v>
      </c>
      <c r="D120" s="49" t="s">
        <v>105</v>
      </c>
      <c r="E120" s="47"/>
      <c r="F120" s="52">
        <f t="shared" si="40"/>
        <v>0</v>
      </c>
      <c r="G120" s="52"/>
      <c r="H120" s="52"/>
      <c r="I120" s="52"/>
      <c r="J120" s="52">
        <f t="shared" si="52"/>
        <v>0</v>
      </c>
      <c r="K120" s="52"/>
      <c r="L120" s="52"/>
      <c r="M120" s="52"/>
      <c r="N120" s="52">
        <f t="shared" si="53"/>
        <v>0</v>
      </c>
      <c r="O120" s="52"/>
      <c r="P120" s="52"/>
      <c r="Q120" s="52"/>
      <c r="R120" s="52">
        <f>SUM(O120:Q120)</f>
        <v>0</v>
      </c>
      <c r="S120" s="52"/>
      <c r="T120" s="52"/>
      <c r="U120" s="52"/>
      <c r="V120" s="52">
        <f t="shared" si="51"/>
        <v>0</v>
      </c>
    </row>
    <row r="121" spans="1:22" s="36" customFormat="1" ht="31.5" customHeight="1" hidden="1">
      <c r="A121" s="98"/>
      <c r="B121" s="41" t="s">
        <v>224</v>
      </c>
      <c r="C121" s="41">
        <v>240</v>
      </c>
      <c r="D121" s="99"/>
      <c r="E121" s="47"/>
      <c r="F121" s="57">
        <f aca="true" t="shared" si="54" ref="F121:F132">J121+N121+R121+V121</f>
        <v>0</v>
      </c>
      <c r="G121" s="53">
        <f>G122</f>
        <v>0</v>
      </c>
      <c r="H121" s="53">
        <f>H122</f>
        <v>0</v>
      </c>
      <c r="I121" s="53">
        <f>I122</f>
        <v>0</v>
      </c>
      <c r="J121" s="57">
        <f t="shared" si="52"/>
        <v>0</v>
      </c>
      <c r="K121" s="53">
        <f>K122</f>
        <v>0</v>
      </c>
      <c r="L121" s="53">
        <f>L122</f>
        <v>0</v>
      </c>
      <c r="M121" s="53">
        <f>M122</f>
        <v>0</v>
      </c>
      <c r="N121" s="57">
        <f t="shared" si="53"/>
        <v>0</v>
      </c>
      <c r="O121" s="53">
        <f>O122</f>
        <v>0</v>
      </c>
      <c r="P121" s="53">
        <f>P122</f>
        <v>0</v>
      </c>
      <c r="Q121" s="53">
        <f>Q122</f>
        <v>0</v>
      </c>
      <c r="R121" s="57">
        <f aca="true" t="shared" si="55" ref="R121:R132">SUM(O121:Q121)</f>
        <v>0</v>
      </c>
      <c r="S121" s="53">
        <f>S122</f>
        <v>0</v>
      </c>
      <c r="T121" s="53">
        <f>T122</f>
        <v>0</v>
      </c>
      <c r="U121" s="53">
        <f>U122</f>
        <v>0</v>
      </c>
      <c r="V121" s="57">
        <f aca="true" t="shared" si="56" ref="V121:V132">S121+T121+U121</f>
        <v>0</v>
      </c>
    </row>
    <row r="122" spans="1:22" s="36" customFormat="1" ht="12" customHeight="1" hidden="1">
      <c r="A122" s="98"/>
      <c r="B122" s="39" t="s">
        <v>147</v>
      </c>
      <c r="C122" s="39">
        <v>244</v>
      </c>
      <c r="D122" s="49" t="s">
        <v>105</v>
      </c>
      <c r="E122" s="47"/>
      <c r="F122" s="52">
        <f t="shared" si="54"/>
        <v>0</v>
      </c>
      <c r="G122" s="52"/>
      <c r="H122" s="52"/>
      <c r="I122" s="52"/>
      <c r="J122" s="52">
        <f t="shared" si="52"/>
        <v>0</v>
      </c>
      <c r="K122" s="52"/>
      <c r="L122" s="52"/>
      <c r="M122" s="52"/>
      <c r="N122" s="52">
        <f t="shared" si="53"/>
        <v>0</v>
      </c>
      <c r="O122" s="52"/>
      <c r="P122" s="52"/>
      <c r="Q122" s="52"/>
      <c r="R122" s="52">
        <f t="shared" si="55"/>
        <v>0</v>
      </c>
      <c r="S122" s="52"/>
      <c r="T122" s="52"/>
      <c r="U122" s="52"/>
      <c r="V122" s="52">
        <f t="shared" si="56"/>
        <v>0</v>
      </c>
    </row>
    <row r="123" spans="1:22" s="36" customFormat="1" ht="57.75" customHeight="1" hidden="1">
      <c r="A123" s="98"/>
      <c r="B123" s="41" t="s">
        <v>231</v>
      </c>
      <c r="C123" s="41">
        <v>240</v>
      </c>
      <c r="D123" s="99"/>
      <c r="E123" s="47"/>
      <c r="F123" s="57">
        <f>J123+N123+R123+V123</f>
        <v>0</v>
      </c>
      <c r="G123" s="53">
        <f>G124</f>
        <v>0</v>
      </c>
      <c r="H123" s="53">
        <f>H124</f>
        <v>0</v>
      </c>
      <c r="I123" s="53">
        <f>I124</f>
        <v>0</v>
      </c>
      <c r="J123" s="57">
        <f>G123+H123+I123</f>
        <v>0</v>
      </c>
      <c r="K123" s="53">
        <f>K124</f>
        <v>0</v>
      </c>
      <c r="L123" s="53">
        <f>L124</f>
        <v>0</v>
      </c>
      <c r="M123" s="53">
        <f>M124</f>
        <v>0</v>
      </c>
      <c r="N123" s="57">
        <f t="shared" si="53"/>
        <v>0</v>
      </c>
      <c r="O123" s="53">
        <f>O124</f>
        <v>0</v>
      </c>
      <c r="P123" s="53">
        <f>P124</f>
        <v>0</v>
      </c>
      <c r="Q123" s="53">
        <f>Q124</f>
        <v>0</v>
      </c>
      <c r="R123" s="57">
        <f>SUM(O123:Q123)</f>
        <v>0</v>
      </c>
      <c r="S123" s="53">
        <f>S124</f>
        <v>0</v>
      </c>
      <c r="T123" s="53">
        <f>T124</f>
        <v>0</v>
      </c>
      <c r="U123" s="53">
        <f>U124</f>
        <v>0</v>
      </c>
      <c r="V123" s="57">
        <f>S123+T123+U123</f>
        <v>0</v>
      </c>
    </row>
    <row r="124" spans="1:22" s="36" customFormat="1" ht="12" customHeight="1" hidden="1">
      <c r="A124" s="98"/>
      <c r="B124" s="39" t="s">
        <v>176</v>
      </c>
      <c r="C124" s="39">
        <v>244</v>
      </c>
      <c r="D124" s="49" t="s">
        <v>103</v>
      </c>
      <c r="E124" s="47"/>
      <c r="F124" s="52">
        <f>J124+N124+R124+V124</f>
        <v>0</v>
      </c>
      <c r="G124" s="52"/>
      <c r="H124" s="52"/>
      <c r="I124" s="52"/>
      <c r="J124" s="52">
        <f>G124+H124+I124</f>
        <v>0</v>
      </c>
      <c r="K124" s="52"/>
      <c r="L124" s="52"/>
      <c r="M124" s="52"/>
      <c r="N124" s="52">
        <f t="shared" si="53"/>
        <v>0</v>
      </c>
      <c r="O124" s="52"/>
      <c r="P124" s="52"/>
      <c r="Q124" s="52"/>
      <c r="R124" s="52">
        <f>SUM(O124:Q124)</f>
        <v>0</v>
      </c>
      <c r="S124" s="52"/>
      <c r="T124" s="52"/>
      <c r="U124" s="52"/>
      <c r="V124" s="52">
        <f>S124+T124+U124</f>
        <v>0</v>
      </c>
    </row>
    <row r="125" spans="1:22" s="36" customFormat="1" ht="42" customHeight="1" hidden="1">
      <c r="A125" s="98"/>
      <c r="B125" s="41" t="s">
        <v>225</v>
      </c>
      <c r="C125" s="41">
        <v>240</v>
      </c>
      <c r="D125" s="99"/>
      <c r="E125" s="47"/>
      <c r="F125" s="57">
        <f t="shared" si="54"/>
        <v>0</v>
      </c>
      <c r="G125" s="53">
        <f>G126</f>
        <v>0</v>
      </c>
      <c r="H125" s="53">
        <f>H126</f>
        <v>0</v>
      </c>
      <c r="I125" s="53">
        <f>I126</f>
        <v>0</v>
      </c>
      <c r="J125" s="57">
        <f t="shared" si="52"/>
        <v>0</v>
      </c>
      <c r="K125" s="53">
        <f>K126</f>
        <v>0</v>
      </c>
      <c r="L125" s="53">
        <f>L126</f>
        <v>0</v>
      </c>
      <c r="M125" s="53">
        <f>M126</f>
        <v>0</v>
      </c>
      <c r="N125" s="57">
        <f t="shared" si="53"/>
        <v>0</v>
      </c>
      <c r="O125" s="53">
        <f>O126</f>
        <v>0</v>
      </c>
      <c r="P125" s="53">
        <f>P126</f>
        <v>0</v>
      </c>
      <c r="Q125" s="53">
        <f>Q126</f>
        <v>0</v>
      </c>
      <c r="R125" s="57">
        <f t="shared" si="55"/>
        <v>0</v>
      </c>
      <c r="S125" s="53">
        <f>S126</f>
        <v>0</v>
      </c>
      <c r="T125" s="53">
        <f>T126</f>
        <v>0</v>
      </c>
      <c r="U125" s="53">
        <f>U126</f>
        <v>0</v>
      </c>
      <c r="V125" s="57">
        <f t="shared" si="56"/>
        <v>0</v>
      </c>
    </row>
    <row r="126" spans="1:22" s="36" customFormat="1" ht="12" customHeight="1" hidden="1">
      <c r="A126" s="98"/>
      <c r="B126" s="39" t="s">
        <v>226</v>
      </c>
      <c r="C126" s="39">
        <v>244</v>
      </c>
      <c r="D126" s="49" t="s">
        <v>99</v>
      </c>
      <c r="E126" s="47"/>
      <c r="F126" s="52">
        <f t="shared" si="54"/>
        <v>0</v>
      </c>
      <c r="G126" s="52"/>
      <c r="H126" s="52"/>
      <c r="I126" s="52"/>
      <c r="J126" s="52">
        <f t="shared" si="52"/>
        <v>0</v>
      </c>
      <c r="K126" s="52"/>
      <c r="L126" s="52"/>
      <c r="M126" s="52"/>
      <c r="N126" s="52">
        <f t="shared" si="53"/>
        <v>0</v>
      </c>
      <c r="O126" s="52"/>
      <c r="P126" s="52"/>
      <c r="Q126" s="52"/>
      <c r="R126" s="52">
        <f t="shared" si="55"/>
        <v>0</v>
      </c>
      <c r="S126" s="52"/>
      <c r="T126" s="52"/>
      <c r="U126" s="52"/>
      <c r="V126" s="52">
        <f t="shared" si="56"/>
        <v>0</v>
      </c>
    </row>
    <row r="127" spans="1:22" s="36" customFormat="1" ht="31.5" customHeight="1" hidden="1">
      <c r="A127" s="98"/>
      <c r="B127" s="41" t="s">
        <v>227</v>
      </c>
      <c r="C127" s="41">
        <v>240</v>
      </c>
      <c r="D127" s="99"/>
      <c r="E127" s="47"/>
      <c r="F127" s="57">
        <f t="shared" si="54"/>
        <v>0</v>
      </c>
      <c r="G127" s="53">
        <f>G128</f>
        <v>0</v>
      </c>
      <c r="H127" s="53">
        <f>H128</f>
        <v>0</v>
      </c>
      <c r="I127" s="53">
        <f>I128</f>
        <v>0</v>
      </c>
      <c r="J127" s="57">
        <f t="shared" si="52"/>
        <v>0</v>
      </c>
      <c r="K127" s="53">
        <f>K128</f>
        <v>0</v>
      </c>
      <c r="L127" s="53">
        <f>L128</f>
        <v>0</v>
      </c>
      <c r="M127" s="53">
        <f>M128</f>
        <v>0</v>
      </c>
      <c r="N127" s="57">
        <f t="shared" si="53"/>
        <v>0</v>
      </c>
      <c r="O127" s="53">
        <f>O128</f>
        <v>0</v>
      </c>
      <c r="P127" s="53">
        <f>P128</f>
        <v>0</v>
      </c>
      <c r="Q127" s="53">
        <f>Q128</f>
        <v>0</v>
      </c>
      <c r="R127" s="57">
        <f t="shared" si="55"/>
        <v>0</v>
      </c>
      <c r="S127" s="53">
        <f>S128</f>
        <v>0</v>
      </c>
      <c r="T127" s="53">
        <f>T128</f>
        <v>0</v>
      </c>
      <c r="U127" s="53">
        <f>U128</f>
        <v>0</v>
      </c>
      <c r="V127" s="57">
        <f t="shared" si="56"/>
        <v>0</v>
      </c>
    </row>
    <row r="128" spans="1:22" s="36" customFormat="1" ht="12" customHeight="1" hidden="1">
      <c r="A128" s="98"/>
      <c r="B128" s="39" t="s">
        <v>147</v>
      </c>
      <c r="C128" s="39">
        <v>244</v>
      </c>
      <c r="D128" s="49" t="s">
        <v>105</v>
      </c>
      <c r="E128" s="47"/>
      <c r="F128" s="52">
        <f t="shared" si="54"/>
        <v>0</v>
      </c>
      <c r="G128" s="52"/>
      <c r="H128" s="52"/>
      <c r="I128" s="52"/>
      <c r="J128" s="52">
        <f t="shared" si="52"/>
        <v>0</v>
      </c>
      <c r="K128" s="52"/>
      <c r="L128" s="52"/>
      <c r="M128" s="52"/>
      <c r="N128" s="52">
        <f t="shared" si="53"/>
        <v>0</v>
      </c>
      <c r="O128" s="52"/>
      <c r="P128" s="52"/>
      <c r="Q128" s="52"/>
      <c r="R128" s="52">
        <f t="shared" si="55"/>
        <v>0</v>
      </c>
      <c r="S128" s="52"/>
      <c r="T128" s="52"/>
      <c r="U128" s="52"/>
      <c r="V128" s="52">
        <f t="shared" si="56"/>
        <v>0</v>
      </c>
    </row>
    <row r="129" spans="1:22" s="36" customFormat="1" ht="55.5" customHeight="1" hidden="1">
      <c r="A129" s="98"/>
      <c r="B129" s="41" t="s">
        <v>228</v>
      </c>
      <c r="C129" s="41">
        <v>240</v>
      </c>
      <c r="D129" s="99"/>
      <c r="E129" s="47"/>
      <c r="F129" s="57">
        <f t="shared" si="54"/>
        <v>0</v>
      </c>
      <c r="G129" s="53">
        <f>G130</f>
        <v>0</v>
      </c>
      <c r="H129" s="53">
        <f>H130</f>
        <v>0</v>
      </c>
      <c r="I129" s="53">
        <f>I130</f>
        <v>0</v>
      </c>
      <c r="J129" s="57">
        <f t="shared" si="52"/>
        <v>0</v>
      </c>
      <c r="K129" s="53">
        <f>K130</f>
        <v>0</v>
      </c>
      <c r="L129" s="53">
        <f>L130</f>
        <v>0</v>
      </c>
      <c r="M129" s="53">
        <f>M130</f>
        <v>0</v>
      </c>
      <c r="N129" s="57">
        <f t="shared" si="53"/>
        <v>0</v>
      </c>
      <c r="O129" s="53">
        <f>O130</f>
        <v>0</v>
      </c>
      <c r="P129" s="53">
        <f>P130</f>
        <v>0</v>
      </c>
      <c r="Q129" s="53">
        <f>Q130</f>
        <v>0</v>
      </c>
      <c r="R129" s="57">
        <f t="shared" si="55"/>
        <v>0</v>
      </c>
      <c r="S129" s="53">
        <f>S130</f>
        <v>0</v>
      </c>
      <c r="T129" s="53">
        <f>T130</f>
        <v>0</v>
      </c>
      <c r="U129" s="53">
        <f>U130</f>
        <v>0</v>
      </c>
      <c r="V129" s="57">
        <f t="shared" si="56"/>
        <v>0</v>
      </c>
    </row>
    <row r="130" spans="1:22" s="36" customFormat="1" ht="12" customHeight="1" hidden="1">
      <c r="A130" s="98"/>
      <c r="B130" s="39" t="s">
        <v>147</v>
      </c>
      <c r="C130" s="39">
        <v>244</v>
      </c>
      <c r="D130" s="49" t="s">
        <v>105</v>
      </c>
      <c r="E130" s="47"/>
      <c r="F130" s="52">
        <f t="shared" si="54"/>
        <v>0</v>
      </c>
      <c r="G130" s="52"/>
      <c r="H130" s="52"/>
      <c r="I130" s="52"/>
      <c r="J130" s="52">
        <f t="shared" si="52"/>
        <v>0</v>
      </c>
      <c r="K130" s="52"/>
      <c r="L130" s="52"/>
      <c r="M130" s="52"/>
      <c r="N130" s="52">
        <f t="shared" si="53"/>
        <v>0</v>
      </c>
      <c r="O130" s="52"/>
      <c r="P130" s="52"/>
      <c r="Q130" s="52"/>
      <c r="R130" s="52">
        <f t="shared" si="55"/>
        <v>0</v>
      </c>
      <c r="S130" s="52"/>
      <c r="T130" s="52"/>
      <c r="U130" s="52"/>
      <c r="V130" s="52">
        <f t="shared" si="56"/>
        <v>0</v>
      </c>
    </row>
    <row r="131" spans="1:22" s="36" customFormat="1" ht="33.75" customHeight="1" hidden="1">
      <c r="A131" s="98"/>
      <c r="B131" s="41" t="s">
        <v>229</v>
      </c>
      <c r="C131" s="41">
        <v>240</v>
      </c>
      <c r="D131" s="99"/>
      <c r="E131" s="47"/>
      <c r="F131" s="57">
        <f t="shared" si="54"/>
        <v>0</v>
      </c>
      <c r="G131" s="53">
        <f>G132</f>
        <v>0</v>
      </c>
      <c r="H131" s="53">
        <f>H132</f>
        <v>0</v>
      </c>
      <c r="I131" s="53">
        <f>I132</f>
        <v>0</v>
      </c>
      <c r="J131" s="57">
        <f t="shared" si="52"/>
        <v>0</v>
      </c>
      <c r="K131" s="53">
        <f>K132</f>
        <v>0</v>
      </c>
      <c r="L131" s="53">
        <f>L132</f>
        <v>0</v>
      </c>
      <c r="M131" s="53">
        <f>M132</f>
        <v>0</v>
      </c>
      <c r="N131" s="57">
        <f t="shared" si="53"/>
        <v>0</v>
      </c>
      <c r="O131" s="53">
        <f>O132</f>
        <v>0</v>
      </c>
      <c r="P131" s="53">
        <f>P132</f>
        <v>0</v>
      </c>
      <c r="Q131" s="53">
        <f>Q132</f>
        <v>0</v>
      </c>
      <c r="R131" s="57">
        <f t="shared" si="55"/>
        <v>0</v>
      </c>
      <c r="S131" s="53">
        <f>S132</f>
        <v>0</v>
      </c>
      <c r="T131" s="53">
        <f>T132</f>
        <v>0</v>
      </c>
      <c r="U131" s="53">
        <f>U132</f>
        <v>0</v>
      </c>
      <c r="V131" s="57">
        <f t="shared" si="56"/>
        <v>0</v>
      </c>
    </row>
    <row r="132" spans="1:22" s="36" customFormat="1" ht="12.75" customHeight="1" hidden="1">
      <c r="A132" s="98"/>
      <c r="B132" s="39" t="s">
        <v>147</v>
      </c>
      <c r="C132" s="39">
        <v>244</v>
      </c>
      <c r="D132" s="49" t="s">
        <v>105</v>
      </c>
      <c r="E132" s="47"/>
      <c r="F132" s="52">
        <f t="shared" si="54"/>
        <v>0</v>
      </c>
      <c r="G132" s="52"/>
      <c r="H132" s="52"/>
      <c r="I132" s="52"/>
      <c r="J132" s="52">
        <f t="shared" si="52"/>
        <v>0</v>
      </c>
      <c r="K132" s="52"/>
      <c r="L132" s="52"/>
      <c r="M132" s="52"/>
      <c r="N132" s="52">
        <f t="shared" si="53"/>
        <v>0</v>
      </c>
      <c r="O132" s="52"/>
      <c r="P132" s="52"/>
      <c r="Q132" s="52"/>
      <c r="R132" s="52">
        <f t="shared" si="55"/>
        <v>0</v>
      </c>
      <c r="S132" s="52"/>
      <c r="T132" s="52"/>
      <c r="U132" s="52"/>
      <c r="V132" s="52">
        <f t="shared" si="56"/>
        <v>0</v>
      </c>
    </row>
    <row r="133" spans="1:22" s="36" customFormat="1" ht="78" customHeight="1" hidden="1">
      <c r="A133" s="98"/>
      <c r="B133" s="41" t="s">
        <v>239</v>
      </c>
      <c r="C133" s="41">
        <v>240</v>
      </c>
      <c r="D133" s="99"/>
      <c r="E133" s="47"/>
      <c r="F133" s="57">
        <f aca="true" t="shared" si="57" ref="F133:F139">J133+N133+R133+V133</f>
        <v>0</v>
      </c>
      <c r="G133" s="53">
        <f>G134</f>
        <v>0</v>
      </c>
      <c r="H133" s="53">
        <f>H134</f>
        <v>0</v>
      </c>
      <c r="I133" s="53">
        <f>I134</f>
        <v>0</v>
      </c>
      <c r="J133" s="57">
        <f>G133+H133+I133</f>
        <v>0</v>
      </c>
      <c r="K133" s="53">
        <f>K134</f>
        <v>0</v>
      </c>
      <c r="L133" s="53">
        <f>L134</f>
        <v>0</v>
      </c>
      <c r="M133" s="53">
        <f>M134</f>
        <v>0</v>
      </c>
      <c r="N133" s="57">
        <f t="shared" si="53"/>
        <v>0</v>
      </c>
      <c r="O133" s="53">
        <f>O134</f>
        <v>0</v>
      </c>
      <c r="P133" s="53">
        <f>P134</f>
        <v>0</v>
      </c>
      <c r="Q133" s="53">
        <f>Q134</f>
        <v>0</v>
      </c>
      <c r="R133" s="57">
        <f aca="true" t="shared" si="58" ref="R133:R139">SUM(O133:Q133)</f>
        <v>0</v>
      </c>
      <c r="S133" s="53">
        <f>S134</f>
        <v>0</v>
      </c>
      <c r="T133" s="53">
        <f>T134</f>
        <v>0</v>
      </c>
      <c r="U133" s="53">
        <f>U134</f>
        <v>0</v>
      </c>
      <c r="V133" s="57">
        <f aca="true" t="shared" si="59" ref="V133:V139">S133+T133+U133</f>
        <v>0</v>
      </c>
    </row>
    <row r="134" spans="1:22" s="36" customFormat="1" ht="12.75" customHeight="1" hidden="1">
      <c r="A134" s="98"/>
      <c r="B134" s="39" t="s">
        <v>176</v>
      </c>
      <c r="C134" s="39">
        <v>244</v>
      </c>
      <c r="D134" s="49" t="s">
        <v>103</v>
      </c>
      <c r="E134" s="47"/>
      <c r="F134" s="52">
        <f t="shared" si="57"/>
        <v>0</v>
      </c>
      <c r="G134" s="52"/>
      <c r="H134" s="52"/>
      <c r="I134" s="52"/>
      <c r="J134" s="52">
        <f>G134+H134+I134</f>
        <v>0</v>
      </c>
      <c r="K134" s="52"/>
      <c r="L134" s="52"/>
      <c r="M134" s="52"/>
      <c r="N134" s="52">
        <f t="shared" si="53"/>
        <v>0</v>
      </c>
      <c r="O134" s="52"/>
      <c r="P134" s="52"/>
      <c r="Q134" s="52"/>
      <c r="R134" s="52">
        <f t="shared" si="58"/>
        <v>0</v>
      </c>
      <c r="S134" s="52"/>
      <c r="T134" s="52"/>
      <c r="U134" s="52"/>
      <c r="V134" s="52">
        <f t="shared" si="59"/>
        <v>0</v>
      </c>
    </row>
    <row r="135" spans="1:22" s="36" customFormat="1" ht="51" customHeight="1" hidden="1">
      <c r="A135" s="98"/>
      <c r="B135" s="42" t="s">
        <v>246</v>
      </c>
      <c r="C135" s="39">
        <v>240</v>
      </c>
      <c r="D135" s="49"/>
      <c r="E135" s="47"/>
      <c r="F135" s="57">
        <f t="shared" si="57"/>
        <v>0</v>
      </c>
      <c r="G135" s="53">
        <f>G136</f>
        <v>0</v>
      </c>
      <c r="H135" s="53">
        <f>H136</f>
        <v>0</v>
      </c>
      <c r="I135" s="53">
        <f>I136</f>
        <v>0</v>
      </c>
      <c r="J135" s="57">
        <f>G135+H135+I135</f>
        <v>0</v>
      </c>
      <c r="K135" s="53">
        <f>K136</f>
        <v>0</v>
      </c>
      <c r="L135" s="53">
        <f>L136</f>
        <v>0</v>
      </c>
      <c r="M135" s="53">
        <f>M136</f>
        <v>0</v>
      </c>
      <c r="N135" s="57">
        <f t="shared" si="53"/>
        <v>0</v>
      </c>
      <c r="O135" s="53">
        <f>O136</f>
        <v>0</v>
      </c>
      <c r="P135" s="53">
        <f>P136</f>
        <v>0</v>
      </c>
      <c r="Q135" s="53">
        <f>Q136</f>
        <v>0</v>
      </c>
      <c r="R135" s="57">
        <f t="shared" si="58"/>
        <v>0</v>
      </c>
      <c r="S135" s="53">
        <f>S136</f>
        <v>0</v>
      </c>
      <c r="T135" s="53">
        <f>T136</f>
        <v>0</v>
      </c>
      <c r="U135" s="53">
        <f>U136</f>
        <v>0</v>
      </c>
      <c r="V135" s="57">
        <f t="shared" si="59"/>
        <v>0</v>
      </c>
    </row>
    <row r="136" spans="1:22" s="36" customFormat="1" ht="12.75" customHeight="1" hidden="1">
      <c r="A136" s="98"/>
      <c r="B136" s="39" t="s">
        <v>176</v>
      </c>
      <c r="C136" s="39">
        <v>244</v>
      </c>
      <c r="D136" s="49" t="s">
        <v>103</v>
      </c>
      <c r="E136" s="47"/>
      <c r="F136" s="52">
        <f t="shared" si="57"/>
        <v>0</v>
      </c>
      <c r="G136" s="52"/>
      <c r="H136" s="52"/>
      <c r="I136" s="52"/>
      <c r="J136" s="52">
        <f>G136+H136+I136</f>
        <v>0</v>
      </c>
      <c r="K136" s="52"/>
      <c r="L136" s="52"/>
      <c r="M136" s="52"/>
      <c r="N136" s="52">
        <f t="shared" si="53"/>
        <v>0</v>
      </c>
      <c r="O136" s="52"/>
      <c r="P136" s="52"/>
      <c r="Q136" s="52"/>
      <c r="R136" s="52">
        <f t="shared" si="58"/>
        <v>0</v>
      </c>
      <c r="S136" s="52"/>
      <c r="T136" s="52"/>
      <c r="U136" s="52"/>
      <c r="V136" s="52">
        <f t="shared" si="59"/>
        <v>0</v>
      </c>
    </row>
    <row r="137" spans="1:22" s="36" customFormat="1" ht="33" customHeight="1">
      <c r="A137" s="98"/>
      <c r="B137" s="40" t="s">
        <v>313</v>
      </c>
      <c r="C137" s="40">
        <v>200</v>
      </c>
      <c r="D137" s="49"/>
      <c r="E137" s="47"/>
      <c r="F137" s="51">
        <f>J137+N137+R137+V137</f>
        <v>4000</v>
      </c>
      <c r="G137" s="61">
        <f>G138+G142</f>
        <v>0</v>
      </c>
      <c r="H137" s="52">
        <f>H138+H142</f>
        <v>160</v>
      </c>
      <c r="I137" s="52">
        <f>I138+I142</f>
        <v>320</v>
      </c>
      <c r="J137" s="51">
        <f aca="true" t="shared" si="60" ref="J137:J152">SUM(G137:I137)</f>
        <v>480</v>
      </c>
      <c r="K137" s="61">
        <f>K138+K142</f>
        <v>0</v>
      </c>
      <c r="L137" s="52">
        <f>L138+L142</f>
        <v>200</v>
      </c>
      <c r="M137" s="52">
        <f>M138+M142</f>
        <v>100</v>
      </c>
      <c r="N137" s="51">
        <f t="shared" si="53"/>
        <v>300</v>
      </c>
      <c r="O137" s="52">
        <f>O138+O142</f>
        <v>190</v>
      </c>
      <c r="P137" s="52">
        <f>P138+P142</f>
        <v>250</v>
      </c>
      <c r="Q137" s="52">
        <f>Q138+Q142</f>
        <v>300</v>
      </c>
      <c r="R137" s="51">
        <f t="shared" si="58"/>
        <v>740</v>
      </c>
      <c r="S137" s="52">
        <f>S138+S142</f>
        <v>557.24</v>
      </c>
      <c r="T137" s="52">
        <f>T138+T142</f>
        <v>1262.76</v>
      </c>
      <c r="U137" s="52">
        <f>U138+U142</f>
        <v>660</v>
      </c>
      <c r="V137" s="51">
        <f t="shared" si="59"/>
        <v>2480</v>
      </c>
    </row>
    <row r="138" spans="1:22" s="36" customFormat="1" ht="87" customHeight="1">
      <c r="A138" s="98"/>
      <c r="B138" s="114" t="s">
        <v>178</v>
      </c>
      <c r="C138" s="39">
        <v>240</v>
      </c>
      <c r="D138" s="49"/>
      <c r="E138" s="47"/>
      <c r="F138" s="57">
        <f t="shared" si="57"/>
        <v>4000</v>
      </c>
      <c r="G138" s="65">
        <f>G139+G144</f>
        <v>0</v>
      </c>
      <c r="H138" s="53">
        <f>H139+H144</f>
        <v>160</v>
      </c>
      <c r="I138" s="53">
        <f>I139+I144</f>
        <v>320</v>
      </c>
      <c r="J138" s="57">
        <f t="shared" si="60"/>
        <v>480</v>
      </c>
      <c r="K138" s="65">
        <f>K139+K144</f>
        <v>0</v>
      </c>
      <c r="L138" s="53">
        <f>L139+L144</f>
        <v>200</v>
      </c>
      <c r="M138" s="53">
        <f>M139+M144</f>
        <v>100</v>
      </c>
      <c r="N138" s="57">
        <f t="shared" si="53"/>
        <v>300</v>
      </c>
      <c r="O138" s="53">
        <f>O139+O144</f>
        <v>190</v>
      </c>
      <c r="P138" s="53">
        <f>P139+P144</f>
        <v>250</v>
      </c>
      <c r="Q138" s="53">
        <f>Q139+Q144</f>
        <v>300</v>
      </c>
      <c r="R138" s="57">
        <f t="shared" si="58"/>
        <v>740</v>
      </c>
      <c r="S138" s="53">
        <f>S139+S144</f>
        <v>557.24</v>
      </c>
      <c r="T138" s="53">
        <f>T139+T144</f>
        <v>1262.76</v>
      </c>
      <c r="U138" s="53">
        <f>U139+U144</f>
        <v>660</v>
      </c>
      <c r="V138" s="57">
        <f t="shared" si="59"/>
        <v>2480</v>
      </c>
    </row>
    <row r="139" spans="1:22" s="36" customFormat="1" ht="14.25" customHeight="1">
      <c r="A139" s="98"/>
      <c r="B139" s="39" t="s">
        <v>176</v>
      </c>
      <c r="C139" s="39">
        <v>244</v>
      </c>
      <c r="D139" s="49" t="s">
        <v>103</v>
      </c>
      <c r="E139" s="47"/>
      <c r="F139" s="57">
        <f t="shared" si="57"/>
        <v>4000</v>
      </c>
      <c r="G139" s="65">
        <f>160-160</f>
        <v>0</v>
      </c>
      <c r="H139" s="53">
        <v>160</v>
      </c>
      <c r="I139" s="53">
        <f>160+160</f>
        <v>320</v>
      </c>
      <c r="J139" s="57">
        <f t="shared" si="60"/>
        <v>480</v>
      </c>
      <c r="K139" s="65">
        <f>100-100</f>
        <v>0</v>
      </c>
      <c r="L139" s="53">
        <f>100+100</f>
        <v>200</v>
      </c>
      <c r="M139" s="53">
        <v>100</v>
      </c>
      <c r="N139" s="57">
        <f t="shared" si="53"/>
        <v>300</v>
      </c>
      <c r="O139" s="53">
        <f>240-50</f>
        <v>190</v>
      </c>
      <c r="P139" s="53">
        <v>250</v>
      </c>
      <c r="Q139" s="53">
        <f>250+50</f>
        <v>300</v>
      </c>
      <c r="R139" s="57">
        <f t="shared" si="58"/>
        <v>740</v>
      </c>
      <c r="S139" s="53">
        <f>825-267.76</f>
        <v>557.24</v>
      </c>
      <c r="T139" s="53">
        <f>825+170+267.76</f>
        <v>1262.76</v>
      </c>
      <c r="U139" s="53">
        <f>830-170</f>
        <v>660</v>
      </c>
      <c r="V139" s="57">
        <f t="shared" si="59"/>
        <v>2480</v>
      </c>
    </row>
    <row r="140" spans="1:22" s="36" customFormat="1" ht="90" customHeight="1" hidden="1">
      <c r="A140" s="98"/>
      <c r="B140" s="114" t="s">
        <v>178</v>
      </c>
      <c r="C140" s="39">
        <v>800</v>
      </c>
      <c r="D140" s="49"/>
      <c r="E140" s="47"/>
      <c r="F140" s="57">
        <f>J140+N140+R140+V140</f>
        <v>0</v>
      </c>
      <c r="G140" s="53">
        <f>G141</f>
        <v>0</v>
      </c>
      <c r="H140" s="53">
        <f>H141</f>
        <v>0</v>
      </c>
      <c r="I140" s="53">
        <f>I141</f>
        <v>0</v>
      </c>
      <c r="J140" s="57">
        <f>SUM(G140:I140)</f>
        <v>0</v>
      </c>
      <c r="K140" s="53">
        <f>K141</f>
        <v>0</v>
      </c>
      <c r="L140" s="53">
        <f>L141</f>
        <v>0</v>
      </c>
      <c r="M140" s="53">
        <f>M141</f>
        <v>0</v>
      </c>
      <c r="N140" s="57">
        <f>SUM(K140:M140)</f>
        <v>0</v>
      </c>
      <c r="O140" s="53">
        <f>O141</f>
        <v>0</v>
      </c>
      <c r="P140" s="53">
        <f>P141</f>
        <v>0</v>
      </c>
      <c r="Q140" s="53">
        <f>Q141</f>
        <v>0</v>
      </c>
      <c r="R140" s="57">
        <f>SUM(O140:Q140)</f>
        <v>0</v>
      </c>
      <c r="S140" s="53">
        <f>S141</f>
        <v>0</v>
      </c>
      <c r="T140" s="53">
        <f>T141</f>
        <v>0</v>
      </c>
      <c r="U140" s="53">
        <f>U141</f>
        <v>0</v>
      </c>
      <c r="V140" s="57">
        <f>S140+T140+U140</f>
        <v>0</v>
      </c>
    </row>
    <row r="141" spans="1:22" s="36" customFormat="1" ht="19.5" customHeight="1" hidden="1">
      <c r="A141" s="98"/>
      <c r="B141" s="39" t="s">
        <v>176</v>
      </c>
      <c r="C141" s="39">
        <v>831</v>
      </c>
      <c r="D141" s="49" t="s">
        <v>107</v>
      </c>
      <c r="E141" s="47"/>
      <c r="F141" s="57">
        <f>J141+N141+R141+V141</f>
        <v>0</v>
      </c>
      <c r="G141" s="53"/>
      <c r="H141" s="53"/>
      <c r="I141" s="53"/>
      <c r="J141" s="57">
        <f>SUM(G141:I141)</f>
        <v>0</v>
      </c>
      <c r="K141" s="53"/>
      <c r="L141" s="53"/>
      <c r="M141" s="53"/>
      <c r="N141" s="57">
        <f>SUM(K141:M141)</f>
        <v>0</v>
      </c>
      <c r="O141" s="53"/>
      <c r="P141" s="53"/>
      <c r="Q141" s="53"/>
      <c r="R141" s="57">
        <f>SUM(O141:Q141)</f>
        <v>0</v>
      </c>
      <c r="S141" s="53">
        <f>253.22-253.22</f>
        <v>0</v>
      </c>
      <c r="T141" s="53"/>
      <c r="U141" s="53"/>
      <c r="V141" s="57">
        <f>S141+T141+U141</f>
        <v>0</v>
      </c>
    </row>
    <row r="142" spans="1:22" s="36" customFormat="1" ht="46.5" customHeight="1" hidden="1">
      <c r="A142" s="98"/>
      <c r="B142" s="41" t="s">
        <v>251</v>
      </c>
      <c r="C142" s="39">
        <v>240</v>
      </c>
      <c r="D142" s="49"/>
      <c r="E142" s="47"/>
      <c r="F142" s="57">
        <f aca="true" t="shared" si="61" ref="F142:F154">J142+N142+R142+V142</f>
        <v>0</v>
      </c>
      <c r="G142" s="53">
        <f>G143+G166</f>
        <v>0</v>
      </c>
      <c r="H142" s="53">
        <f>H143+H166</f>
        <v>0</v>
      </c>
      <c r="I142" s="53">
        <f>I143+I166</f>
        <v>0</v>
      </c>
      <c r="J142" s="57">
        <f t="shared" si="60"/>
        <v>0</v>
      </c>
      <c r="K142" s="53">
        <f>K143+K166</f>
        <v>0</v>
      </c>
      <c r="L142" s="53">
        <f>L143+L166</f>
        <v>0</v>
      </c>
      <c r="M142" s="53">
        <f>M143+M166</f>
        <v>0</v>
      </c>
      <c r="N142" s="57">
        <f aca="true" t="shared" si="62" ref="N142:N152">SUM(K142:M142)</f>
        <v>0</v>
      </c>
      <c r="O142" s="53">
        <f>O143+O144</f>
        <v>0</v>
      </c>
      <c r="P142" s="53">
        <f>P143+P166</f>
        <v>0</v>
      </c>
      <c r="Q142" s="53">
        <f>Q143+Q166</f>
        <v>0</v>
      </c>
      <c r="R142" s="57">
        <f aca="true" t="shared" si="63" ref="R142:R152">SUM(O142:Q142)</f>
        <v>0</v>
      </c>
      <c r="S142" s="53">
        <f>S143</f>
        <v>0</v>
      </c>
      <c r="T142" s="53">
        <f>T143+T166</f>
        <v>0</v>
      </c>
      <c r="U142" s="53">
        <f>U143+U166</f>
        <v>0</v>
      </c>
      <c r="V142" s="57">
        <f aca="true" t="shared" si="64" ref="V142:V152">S142+T142+U142</f>
        <v>0</v>
      </c>
    </row>
    <row r="143" spans="1:22" s="36" customFormat="1" ht="14.25" customHeight="1" hidden="1">
      <c r="A143" s="98"/>
      <c r="B143" s="39" t="s">
        <v>176</v>
      </c>
      <c r="C143" s="39">
        <v>244</v>
      </c>
      <c r="D143" s="49" t="s">
        <v>103</v>
      </c>
      <c r="E143" s="47"/>
      <c r="F143" s="57">
        <f t="shared" si="61"/>
        <v>0</v>
      </c>
      <c r="G143" s="53"/>
      <c r="H143" s="53"/>
      <c r="I143" s="53"/>
      <c r="J143" s="57">
        <f t="shared" si="60"/>
        <v>0</v>
      </c>
      <c r="K143" s="53"/>
      <c r="L143" s="53"/>
      <c r="M143" s="53"/>
      <c r="N143" s="57">
        <f t="shared" si="62"/>
        <v>0</v>
      </c>
      <c r="O143" s="53"/>
      <c r="P143" s="53"/>
      <c r="Q143" s="53"/>
      <c r="R143" s="57">
        <f t="shared" si="63"/>
        <v>0</v>
      </c>
      <c r="S143" s="53"/>
      <c r="T143" s="53"/>
      <c r="U143" s="53"/>
      <c r="V143" s="57">
        <f t="shared" si="64"/>
        <v>0</v>
      </c>
    </row>
    <row r="144" spans="1:22" s="36" customFormat="1" ht="14.25" customHeight="1" hidden="1">
      <c r="A144" s="98"/>
      <c r="B144" s="39" t="s">
        <v>110</v>
      </c>
      <c r="C144" s="39">
        <v>244</v>
      </c>
      <c r="D144" s="49" t="s">
        <v>111</v>
      </c>
      <c r="E144" s="47"/>
      <c r="F144" s="57">
        <f t="shared" si="61"/>
        <v>0</v>
      </c>
      <c r="G144" s="53"/>
      <c r="H144" s="53"/>
      <c r="I144" s="53"/>
      <c r="J144" s="57">
        <f t="shared" si="60"/>
        <v>0</v>
      </c>
      <c r="K144" s="53"/>
      <c r="L144" s="53"/>
      <c r="M144" s="53"/>
      <c r="N144" s="57">
        <f t="shared" si="62"/>
        <v>0</v>
      </c>
      <c r="O144" s="53">
        <v>0</v>
      </c>
      <c r="P144" s="53">
        <v>0</v>
      </c>
      <c r="Q144" s="53">
        <v>0</v>
      </c>
      <c r="R144" s="57">
        <f t="shared" si="63"/>
        <v>0</v>
      </c>
      <c r="S144" s="53"/>
      <c r="T144" s="53"/>
      <c r="U144" s="53"/>
      <c r="V144" s="57">
        <f t="shared" si="64"/>
        <v>0</v>
      </c>
    </row>
    <row r="145" spans="1:22" s="36" customFormat="1" ht="42" customHeight="1" hidden="1">
      <c r="A145" s="98" t="s">
        <v>294</v>
      </c>
      <c r="B145" s="40" t="s">
        <v>283</v>
      </c>
      <c r="C145" s="39">
        <v>240</v>
      </c>
      <c r="D145" s="49"/>
      <c r="E145" s="47"/>
      <c r="F145" s="57">
        <f>J145+N145+R145+V145</f>
        <v>0</v>
      </c>
      <c r="G145" s="53">
        <f aca="true" t="shared" si="65" ref="G145:I146">G146</f>
        <v>0</v>
      </c>
      <c r="H145" s="53">
        <f t="shared" si="65"/>
        <v>0</v>
      </c>
      <c r="I145" s="53">
        <f t="shared" si="65"/>
        <v>0</v>
      </c>
      <c r="J145" s="57">
        <f t="shared" si="60"/>
        <v>0</v>
      </c>
      <c r="K145" s="53">
        <f aca="true" t="shared" si="66" ref="K145:O146">K146</f>
        <v>0</v>
      </c>
      <c r="L145" s="53">
        <f t="shared" si="66"/>
        <v>0</v>
      </c>
      <c r="M145" s="53">
        <f t="shared" si="66"/>
        <v>0</v>
      </c>
      <c r="N145" s="57">
        <f>SUM(K145:M145)</f>
        <v>0</v>
      </c>
      <c r="O145" s="53">
        <f aca="true" t="shared" si="67" ref="O145:Q146">O146</f>
        <v>0</v>
      </c>
      <c r="P145" s="53">
        <f t="shared" si="67"/>
        <v>0</v>
      </c>
      <c r="Q145" s="53">
        <f t="shared" si="67"/>
        <v>0</v>
      </c>
      <c r="R145" s="57">
        <f>SUM(O145:Q145)</f>
        <v>0</v>
      </c>
      <c r="S145" s="53">
        <f aca="true" t="shared" si="68" ref="S145:U146">S146</f>
        <v>0</v>
      </c>
      <c r="T145" s="53">
        <f t="shared" si="68"/>
        <v>0</v>
      </c>
      <c r="U145" s="53">
        <f t="shared" si="68"/>
        <v>0</v>
      </c>
      <c r="V145" s="57">
        <f>S145+T145+U145</f>
        <v>0</v>
      </c>
    </row>
    <row r="146" spans="1:22" s="36" customFormat="1" ht="26.25" customHeight="1" hidden="1">
      <c r="A146" s="98" t="s">
        <v>294</v>
      </c>
      <c r="B146" s="41" t="s">
        <v>284</v>
      </c>
      <c r="C146" s="39">
        <v>244</v>
      </c>
      <c r="D146" s="49"/>
      <c r="E146" s="47"/>
      <c r="F146" s="57">
        <f>J146+N146+R146+V146</f>
        <v>0</v>
      </c>
      <c r="G146" s="53">
        <f t="shared" si="65"/>
        <v>0</v>
      </c>
      <c r="H146" s="53">
        <f t="shared" si="65"/>
        <v>0</v>
      </c>
      <c r="I146" s="53">
        <f t="shared" si="65"/>
        <v>0</v>
      </c>
      <c r="J146" s="57">
        <f t="shared" si="60"/>
        <v>0</v>
      </c>
      <c r="K146" s="53">
        <f t="shared" si="66"/>
        <v>0</v>
      </c>
      <c r="L146" s="53">
        <f t="shared" si="66"/>
        <v>0</v>
      </c>
      <c r="M146" s="53">
        <f t="shared" si="66"/>
        <v>0</v>
      </c>
      <c r="N146" s="57">
        <f>SUM(K146:M146)</f>
        <v>0</v>
      </c>
      <c r="O146" s="53">
        <f t="shared" si="66"/>
        <v>0</v>
      </c>
      <c r="P146" s="53">
        <f t="shared" si="67"/>
        <v>0</v>
      </c>
      <c r="Q146" s="53">
        <f t="shared" si="67"/>
        <v>0</v>
      </c>
      <c r="R146" s="57">
        <f>SUM(O146:Q146)</f>
        <v>0</v>
      </c>
      <c r="S146" s="53">
        <f t="shared" si="68"/>
        <v>0</v>
      </c>
      <c r="T146" s="53">
        <f t="shared" si="68"/>
        <v>0</v>
      </c>
      <c r="U146" s="53">
        <f t="shared" si="68"/>
        <v>0</v>
      </c>
      <c r="V146" s="57">
        <f>S146+T146+U146</f>
        <v>0</v>
      </c>
    </row>
    <row r="147" spans="1:22" s="36" customFormat="1" ht="27" customHeight="1" hidden="1">
      <c r="A147" s="98" t="s">
        <v>294</v>
      </c>
      <c r="B147" s="39" t="s">
        <v>108</v>
      </c>
      <c r="C147" s="39">
        <v>244</v>
      </c>
      <c r="D147" s="49" t="s">
        <v>109</v>
      </c>
      <c r="E147" s="47"/>
      <c r="F147" s="57">
        <f>J147+N147+R147+V147</f>
        <v>0</v>
      </c>
      <c r="G147" s="53"/>
      <c r="H147" s="53"/>
      <c r="I147" s="53"/>
      <c r="J147" s="57">
        <f t="shared" si="60"/>
        <v>0</v>
      </c>
      <c r="K147" s="53">
        <v>0</v>
      </c>
      <c r="L147" s="53"/>
      <c r="M147" s="53"/>
      <c r="N147" s="57">
        <f>SUM(K147:M147)</f>
        <v>0</v>
      </c>
      <c r="O147" s="53"/>
      <c r="P147" s="53"/>
      <c r="Q147" s="53"/>
      <c r="R147" s="57">
        <f>SUM(O147:Q147)</f>
        <v>0</v>
      </c>
      <c r="S147" s="53"/>
      <c r="T147" s="53"/>
      <c r="U147" s="53"/>
      <c r="V147" s="57">
        <f>S147+T147+U147</f>
        <v>0</v>
      </c>
    </row>
    <row r="148" spans="1:22" s="36" customFormat="1" ht="47.25" customHeight="1">
      <c r="A148" s="98"/>
      <c r="B148" s="40" t="s">
        <v>252</v>
      </c>
      <c r="C148" s="40">
        <v>200</v>
      </c>
      <c r="D148" s="49"/>
      <c r="E148" s="47"/>
      <c r="F148" s="51">
        <f t="shared" si="61"/>
        <v>7839.599999999999</v>
      </c>
      <c r="G148" s="53">
        <f>G149+G151+G153+G157+G159+G155+G161+G163</f>
        <v>5000</v>
      </c>
      <c r="H148" s="61">
        <f>H149+H151+H153+H157+H159+H155+H161+H163</f>
        <v>0</v>
      </c>
      <c r="I148" s="61">
        <f>I149+I151+I153+I157+I159+I155+I161+I163</f>
        <v>0</v>
      </c>
      <c r="J148" s="51">
        <f t="shared" si="60"/>
        <v>5000</v>
      </c>
      <c r="K148" s="61">
        <f>K149+K151+K153+K157+K159+K155+K161+K163</f>
        <v>0</v>
      </c>
      <c r="L148" s="52">
        <f>L149+L151+L153+L157+L159+L155+L161+L163</f>
        <v>444</v>
      </c>
      <c r="M148" s="52">
        <f>M149+M151+M153+M157+M159+M155+M161+M163</f>
        <v>0</v>
      </c>
      <c r="N148" s="51">
        <f t="shared" si="62"/>
        <v>444</v>
      </c>
      <c r="O148" s="52">
        <f>O149+O151+O153+O157+O159+O155+O161+O163</f>
        <v>378.13</v>
      </c>
      <c r="P148" s="52">
        <f>P149+P151+P153+P157+P159+P155+P161+P163</f>
        <v>580</v>
      </c>
      <c r="Q148" s="52">
        <f>Q149+Q151+Q153+Q157+Q159+Q155+Q161+Q163</f>
        <v>767.82</v>
      </c>
      <c r="R148" s="51">
        <f t="shared" si="63"/>
        <v>1725.95</v>
      </c>
      <c r="S148" s="52">
        <f>S149+S151+S153+S157+S159+S155+S161+S163</f>
        <v>223</v>
      </c>
      <c r="T148" s="52">
        <f>T149+T151+T153+T157+T159+T155+T161+T163</f>
        <v>223</v>
      </c>
      <c r="U148" s="52">
        <f>U149+U151+U153+U157+U159+U155+U161+U163</f>
        <v>223.65</v>
      </c>
      <c r="V148" s="51">
        <f t="shared" si="64"/>
        <v>669.65</v>
      </c>
    </row>
    <row r="149" spans="1:22" s="36" customFormat="1" ht="47.25" customHeight="1">
      <c r="A149" s="98"/>
      <c r="B149" s="114" t="s">
        <v>175</v>
      </c>
      <c r="C149" s="39">
        <v>240</v>
      </c>
      <c r="D149" s="49"/>
      <c r="E149" s="47"/>
      <c r="F149" s="57">
        <f t="shared" si="61"/>
        <v>2839.6</v>
      </c>
      <c r="G149" s="65">
        <f>G150</f>
        <v>0</v>
      </c>
      <c r="H149" s="65">
        <f>H150</f>
        <v>0</v>
      </c>
      <c r="I149" s="65">
        <f>I150</f>
        <v>0</v>
      </c>
      <c r="J149" s="57">
        <f t="shared" si="60"/>
        <v>0</v>
      </c>
      <c r="K149" s="65">
        <f>K150</f>
        <v>0</v>
      </c>
      <c r="L149" s="53">
        <f>L150</f>
        <v>444</v>
      </c>
      <c r="M149" s="65">
        <f>M150</f>
        <v>0</v>
      </c>
      <c r="N149" s="57">
        <f t="shared" si="62"/>
        <v>444</v>
      </c>
      <c r="O149" s="53">
        <f>O150</f>
        <v>378.13</v>
      </c>
      <c r="P149" s="53">
        <f>P150</f>
        <v>580</v>
      </c>
      <c r="Q149" s="53">
        <f>Q150</f>
        <v>767.82</v>
      </c>
      <c r="R149" s="57">
        <f t="shared" si="63"/>
        <v>1725.95</v>
      </c>
      <c r="S149" s="53">
        <f>S150</f>
        <v>223</v>
      </c>
      <c r="T149" s="53">
        <f>T150</f>
        <v>223</v>
      </c>
      <c r="U149" s="53">
        <f>U150</f>
        <v>223.65</v>
      </c>
      <c r="V149" s="57">
        <f t="shared" si="64"/>
        <v>669.65</v>
      </c>
    </row>
    <row r="150" spans="1:22" s="36" customFormat="1" ht="15.75" customHeight="1">
      <c r="A150" s="98"/>
      <c r="B150" s="43" t="s">
        <v>212</v>
      </c>
      <c r="C150" s="39">
        <v>244</v>
      </c>
      <c r="D150" s="49" t="s">
        <v>103</v>
      </c>
      <c r="E150" s="47"/>
      <c r="F150" s="57">
        <f t="shared" si="61"/>
        <v>2839.6</v>
      </c>
      <c r="G150" s="65">
        <v>0</v>
      </c>
      <c r="H150" s="65">
        <v>0</v>
      </c>
      <c r="I150" s="65">
        <v>0</v>
      </c>
      <c r="J150" s="57">
        <f t="shared" si="60"/>
        <v>0</v>
      </c>
      <c r="K150" s="65">
        <f>200-200</f>
        <v>0</v>
      </c>
      <c r="L150" s="53">
        <f>244+200</f>
        <v>444</v>
      </c>
      <c r="M150" s="65">
        <v>0</v>
      </c>
      <c r="N150" s="57">
        <f t="shared" si="62"/>
        <v>444</v>
      </c>
      <c r="O150" s="53">
        <f>566.6-188.47</f>
        <v>378.13</v>
      </c>
      <c r="P150" s="53">
        <v>580</v>
      </c>
      <c r="Q150" s="53">
        <f>579.35+188.47</f>
        <v>767.82</v>
      </c>
      <c r="R150" s="57">
        <f t="shared" si="63"/>
        <v>1725.95</v>
      </c>
      <c r="S150" s="53">
        <v>223</v>
      </c>
      <c r="T150" s="53">
        <v>223</v>
      </c>
      <c r="U150" s="53">
        <v>223.65</v>
      </c>
      <c r="V150" s="57">
        <f t="shared" si="64"/>
        <v>669.65</v>
      </c>
    </row>
    <row r="151" spans="1:22" s="36" customFormat="1" ht="81" customHeight="1" hidden="1">
      <c r="A151" s="98"/>
      <c r="B151" s="42" t="s">
        <v>177</v>
      </c>
      <c r="C151" s="39">
        <v>240</v>
      </c>
      <c r="D151" s="49"/>
      <c r="E151" s="47"/>
      <c r="F151" s="57">
        <f t="shared" si="61"/>
        <v>0</v>
      </c>
      <c r="G151" s="53">
        <f>G152+G188</f>
        <v>0</v>
      </c>
      <c r="H151" s="53">
        <f>H152+H188</f>
        <v>0</v>
      </c>
      <c r="I151" s="53">
        <f>I152+I188</f>
        <v>0</v>
      </c>
      <c r="J151" s="57">
        <f t="shared" si="60"/>
        <v>0</v>
      </c>
      <c r="K151" s="65">
        <f>K152+K188</f>
        <v>0</v>
      </c>
      <c r="L151" s="53">
        <f>L152+L188</f>
        <v>0</v>
      </c>
      <c r="M151" s="53">
        <f>M152+M188</f>
        <v>0</v>
      </c>
      <c r="N151" s="57">
        <f t="shared" si="62"/>
        <v>0</v>
      </c>
      <c r="O151" s="53">
        <f>O152+O188</f>
        <v>0</v>
      </c>
      <c r="P151" s="53">
        <f>P152+P188</f>
        <v>0</v>
      </c>
      <c r="Q151" s="53">
        <f>Q152+Q188</f>
        <v>0</v>
      </c>
      <c r="R151" s="57">
        <f t="shared" si="63"/>
        <v>0</v>
      </c>
      <c r="S151" s="53">
        <f>S152+S188</f>
        <v>0</v>
      </c>
      <c r="T151" s="53">
        <f>T152+T188</f>
        <v>0</v>
      </c>
      <c r="U151" s="53">
        <f>U152+U188</f>
        <v>0</v>
      </c>
      <c r="V151" s="57">
        <f t="shared" si="64"/>
        <v>0</v>
      </c>
    </row>
    <row r="152" spans="1:22" s="36" customFormat="1" ht="30" customHeight="1" hidden="1">
      <c r="A152" s="98"/>
      <c r="B152" s="43" t="s">
        <v>212</v>
      </c>
      <c r="C152" s="39">
        <v>244</v>
      </c>
      <c r="D152" s="49" t="s">
        <v>105</v>
      </c>
      <c r="E152" s="47"/>
      <c r="F152" s="57">
        <f t="shared" si="61"/>
        <v>0</v>
      </c>
      <c r="G152" s="53">
        <v>0</v>
      </c>
      <c r="H152" s="53">
        <v>0</v>
      </c>
      <c r="I152" s="53">
        <v>0</v>
      </c>
      <c r="J152" s="57">
        <f t="shared" si="60"/>
        <v>0</v>
      </c>
      <c r="K152" s="65"/>
      <c r="L152" s="53"/>
      <c r="M152" s="53"/>
      <c r="N152" s="57">
        <f t="shared" si="62"/>
        <v>0</v>
      </c>
      <c r="O152" s="53"/>
      <c r="P152" s="53"/>
      <c r="Q152" s="53"/>
      <c r="R152" s="57">
        <f t="shared" si="63"/>
        <v>0</v>
      </c>
      <c r="S152" s="53"/>
      <c r="T152" s="53"/>
      <c r="U152" s="53"/>
      <c r="V152" s="57">
        <f t="shared" si="64"/>
        <v>0</v>
      </c>
    </row>
    <row r="153" spans="1:22" s="36" customFormat="1" ht="64.5" customHeight="1" hidden="1">
      <c r="A153" s="98"/>
      <c r="B153" s="42" t="s">
        <v>246</v>
      </c>
      <c r="C153" s="39">
        <v>240</v>
      </c>
      <c r="D153" s="49"/>
      <c r="E153" s="47"/>
      <c r="F153" s="57">
        <f t="shared" si="61"/>
        <v>0</v>
      </c>
      <c r="G153" s="53">
        <f>G154</f>
        <v>0</v>
      </c>
      <c r="H153" s="53">
        <f>H154</f>
        <v>0</v>
      </c>
      <c r="I153" s="53">
        <f>I154</f>
        <v>0</v>
      </c>
      <c r="J153" s="57">
        <f aca="true" t="shared" si="69" ref="J153:J160">SUM(G153:I153)</f>
        <v>0</v>
      </c>
      <c r="K153" s="65">
        <f>K154</f>
        <v>0</v>
      </c>
      <c r="L153" s="53">
        <f>L154</f>
        <v>0</v>
      </c>
      <c r="M153" s="53">
        <f>M154</f>
        <v>0</v>
      </c>
      <c r="N153" s="57">
        <f aca="true" t="shared" si="70" ref="N153:N160">SUM(K153:M153)</f>
        <v>0</v>
      </c>
      <c r="O153" s="53">
        <f>O154</f>
        <v>0</v>
      </c>
      <c r="P153" s="53">
        <f>P154</f>
        <v>0</v>
      </c>
      <c r="Q153" s="53">
        <f>Q154</f>
        <v>0</v>
      </c>
      <c r="R153" s="57">
        <f aca="true" t="shared" si="71" ref="R153:R169">SUM(O153:Q153)</f>
        <v>0</v>
      </c>
      <c r="S153" s="53">
        <f>S154</f>
        <v>0</v>
      </c>
      <c r="T153" s="53">
        <f>T154</f>
        <v>0</v>
      </c>
      <c r="U153" s="53">
        <f>U154</f>
        <v>0</v>
      </c>
      <c r="V153" s="57">
        <f aca="true" t="shared" si="72" ref="V153:V197">S153+T153+U153</f>
        <v>0</v>
      </c>
    </row>
    <row r="154" spans="1:22" s="36" customFormat="1" ht="30" customHeight="1" hidden="1">
      <c r="A154" s="98"/>
      <c r="B154" s="43" t="s">
        <v>212</v>
      </c>
      <c r="C154" s="39">
        <v>244</v>
      </c>
      <c r="D154" s="49" t="s">
        <v>103</v>
      </c>
      <c r="E154" s="47"/>
      <c r="F154" s="57">
        <f t="shared" si="61"/>
        <v>0</v>
      </c>
      <c r="G154" s="53"/>
      <c r="H154" s="53"/>
      <c r="I154" s="53"/>
      <c r="J154" s="57">
        <f t="shared" si="69"/>
        <v>0</v>
      </c>
      <c r="K154" s="65"/>
      <c r="L154" s="53"/>
      <c r="M154" s="53"/>
      <c r="N154" s="57">
        <f t="shared" si="70"/>
        <v>0</v>
      </c>
      <c r="O154" s="53"/>
      <c r="P154" s="53"/>
      <c r="Q154" s="53"/>
      <c r="R154" s="57">
        <f t="shared" si="71"/>
        <v>0</v>
      </c>
      <c r="S154" s="53"/>
      <c r="T154" s="53"/>
      <c r="U154" s="53"/>
      <c r="V154" s="57">
        <f t="shared" si="72"/>
        <v>0</v>
      </c>
    </row>
    <row r="155" spans="1:22" s="36" customFormat="1" ht="39" customHeight="1" hidden="1">
      <c r="A155" s="98"/>
      <c r="B155" s="42" t="s">
        <v>279</v>
      </c>
      <c r="C155" s="39">
        <v>240</v>
      </c>
      <c r="D155" s="49"/>
      <c r="E155" s="47"/>
      <c r="F155" s="57">
        <f aca="true" t="shared" si="73" ref="F155:F160">J155+N155+R155+V155</f>
        <v>0</v>
      </c>
      <c r="G155" s="53">
        <f>G156</f>
        <v>0</v>
      </c>
      <c r="H155" s="53">
        <f>H156</f>
        <v>0</v>
      </c>
      <c r="I155" s="53">
        <f>I156</f>
        <v>0</v>
      </c>
      <c r="J155" s="57">
        <f>SUM(G155:I155)</f>
        <v>0</v>
      </c>
      <c r="K155" s="65">
        <f>K156</f>
        <v>0</v>
      </c>
      <c r="L155" s="53">
        <f>L156</f>
        <v>0</v>
      </c>
      <c r="M155" s="53">
        <f>M156</f>
        <v>0</v>
      </c>
      <c r="N155" s="57">
        <f>SUM(K155:M155)</f>
        <v>0</v>
      </c>
      <c r="O155" s="53">
        <f>O156</f>
        <v>0</v>
      </c>
      <c r="P155" s="53">
        <f>P156</f>
        <v>0</v>
      </c>
      <c r="Q155" s="53">
        <f>Q156</f>
        <v>0</v>
      </c>
      <c r="R155" s="57">
        <f>SUM(O155:Q155)</f>
        <v>0</v>
      </c>
      <c r="S155" s="53">
        <f>S156</f>
        <v>0</v>
      </c>
      <c r="T155" s="53">
        <f>T156</f>
        <v>0</v>
      </c>
      <c r="U155" s="53">
        <f>U156</f>
        <v>0</v>
      </c>
      <c r="V155" s="57">
        <f>S155+T155+U155</f>
        <v>0</v>
      </c>
    </row>
    <row r="156" spans="1:22" s="36" customFormat="1" ht="30" customHeight="1" hidden="1">
      <c r="A156" s="98"/>
      <c r="B156" s="43" t="s">
        <v>212</v>
      </c>
      <c r="C156" s="39">
        <v>244</v>
      </c>
      <c r="D156" s="49" t="s">
        <v>103</v>
      </c>
      <c r="E156" s="47"/>
      <c r="F156" s="57">
        <f t="shared" si="73"/>
        <v>0</v>
      </c>
      <c r="G156" s="53"/>
      <c r="H156" s="53"/>
      <c r="I156" s="53"/>
      <c r="J156" s="57">
        <f>SUM(G156:I156)</f>
        <v>0</v>
      </c>
      <c r="K156" s="65"/>
      <c r="L156" s="53"/>
      <c r="M156" s="53"/>
      <c r="N156" s="57">
        <f>SUM(K156:M156)</f>
        <v>0</v>
      </c>
      <c r="O156" s="53"/>
      <c r="P156" s="53"/>
      <c r="Q156" s="53"/>
      <c r="R156" s="57">
        <f>SUM(O156:Q156)</f>
        <v>0</v>
      </c>
      <c r="S156" s="53">
        <v>0</v>
      </c>
      <c r="T156" s="53">
        <v>0</v>
      </c>
      <c r="U156" s="53">
        <v>0</v>
      </c>
      <c r="V156" s="57">
        <f>S156+T156+U156</f>
        <v>0</v>
      </c>
    </row>
    <row r="157" spans="1:22" s="36" customFormat="1" ht="93" customHeight="1">
      <c r="A157" s="98"/>
      <c r="B157" s="118" t="s">
        <v>321</v>
      </c>
      <c r="C157" s="39">
        <v>240</v>
      </c>
      <c r="D157" s="49"/>
      <c r="E157" s="47"/>
      <c r="F157" s="57">
        <f t="shared" si="73"/>
        <v>5000</v>
      </c>
      <c r="G157" s="53">
        <f>G158</f>
        <v>5000</v>
      </c>
      <c r="H157" s="65">
        <f>H158</f>
        <v>0</v>
      </c>
      <c r="I157" s="65">
        <f>I158</f>
        <v>0</v>
      </c>
      <c r="J157" s="57">
        <f t="shared" si="69"/>
        <v>5000</v>
      </c>
      <c r="K157" s="65">
        <f>K158</f>
        <v>0</v>
      </c>
      <c r="L157" s="65">
        <f>L158</f>
        <v>0</v>
      </c>
      <c r="M157" s="65">
        <f>M158</f>
        <v>0</v>
      </c>
      <c r="N157" s="67">
        <f t="shared" si="70"/>
        <v>0</v>
      </c>
      <c r="O157" s="65">
        <f>O158</f>
        <v>0</v>
      </c>
      <c r="P157" s="65">
        <f>P158</f>
        <v>0</v>
      </c>
      <c r="Q157" s="65">
        <f>Q158</f>
        <v>0</v>
      </c>
      <c r="R157" s="67">
        <f t="shared" si="71"/>
        <v>0</v>
      </c>
      <c r="S157" s="65">
        <f>S158</f>
        <v>0</v>
      </c>
      <c r="T157" s="65">
        <f>T158</f>
        <v>0</v>
      </c>
      <c r="U157" s="65">
        <f>U158</f>
        <v>0</v>
      </c>
      <c r="V157" s="67">
        <f t="shared" si="72"/>
        <v>0</v>
      </c>
    </row>
    <row r="158" spans="1:22" s="36" customFormat="1" ht="22.5" customHeight="1">
      <c r="A158" s="98"/>
      <c r="B158" s="43" t="s">
        <v>212</v>
      </c>
      <c r="C158" s="39">
        <v>244</v>
      </c>
      <c r="D158" s="49" t="s">
        <v>103</v>
      </c>
      <c r="E158" s="47"/>
      <c r="F158" s="57">
        <f t="shared" si="73"/>
        <v>5000</v>
      </c>
      <c r="G158" s="53">
        <v>5000</v>
      </c>
      <c r="H158" s="65">
        <v>0</v>
      </c>
      <c r="I158" s="65">
        <v>0</v>
      </c>
      <c r="J158" s="57">
        <f t="shared" si="69"/>
        <v>5000</v>
      </c>
      <c r="K158" s="65">
        <f>5000-5000</f>
        <v>0</v>
      </c>
      <c r="L158" s="65">
        <v>0</v>
      </c>
      <c r="M158" s="65">
        <v>0</v>
      </c>
      <c r="N158" s="67">
        <f t="shared" si="70"/>
        <v>0</v>
      </c>
      <c r="O158" s="65">
        <v>0</v>
      </c>
      <c r="P158" s="65">
        <v>0</v>
      </c>
      <c r="Q158" s="65">
        <v>0</v>
      </c>
      <c r="R158" s="67">
        <f t="shared" si="71"/>
        <v>0</v>
      </c>
      <c r="S158" s="65">
        <v>0</v>
      </c>
      <c r="T158" s="65">
        <v>0</v>
      </c>
      <c r="U158" s="65">
        <v>0</v>
      </c>
      <c r="V158" s="67">
        <f t="shared" si="72"/>
        <v>0</v>
      </c>
    </row>
    <row r="159" spans="1:22" s="36" customFormat="1" ht="90" customHeight="1" hidden="1">
      <c r="A159" s="98"/>
      <c r="B159" s="42" t="s">
        <v>273</v>
      </c>
      <c r="C159" s="39">
        <v>240</v>
      </c>
      <c r="D159" s="49"/>
      <c r="E159" s="47"/>
      <c r="F159" s="57">
        <f t="shared" si="73"/>
        <v>0</v>
      </c>
      <c r="G159" s="53">
        <f>G160</f>
        <v>0</v>
      </c>
      <c r="H159" s="53">
        <f>H160</f>
        <v>0</v>
      </c>
      <c r="I159" s="53">
        <f>I160</f>
        <v>0</v>
      </c>
      <c r="J159" s="57">
        <f t="shared" si="69"/>
        <v>0</v>
      </c>
      <c r="K159" s="53">
        <f>K160</f>
        <v>0</v>
      </c>
      <c r="L159" s="53">
        <f>L160</f>
        <v>0</v>
      </c>
      <c r="M159" s="53">
        <f>M160</f>
        <v>0</v>
      </c>
      <c r="N159" s="57">
        <f t="shared" si="70"/>
        <v>0</v>
      </c>
      <c r="O159" s="53">
        <f>O160</f>
        <v>0</v>
      </c>
      <c r="P159" s="53">
        <f>P160</f>
        <v>0</v>
      </c>
      <c r="Q159" s="53">
        <f>Q160</f>
        <v>0</v>
      </c>
      <c r="R159" s="57">
        <f t="shared" si="71"/>
        <v>0</v>
      </c>
      <c r="S159" s="65">
        <f>S160</f>
        <v>0</v>
      </c>
      <c r="T159" s="65">
        <f>T160</f>
        <v>0</v>
      </c>
      <c r="U159" s="65">
        <f>U160</f>
        <v>0</v>
      </c>
      <c r="V159" s="67">
        <f t="shared" si="72"/>
        <v>0</v>
      </c>
    </row>
    <row r="160" spans="1:22" s="36" customFormat="1" ht="43.5" customHeight="1" hidden="1">
      <c r="A160" s="98"/>
      <c r="B160" s="39" t="s">
        <v>223</v>
      </c>
      <c r="C160" s="39">
        <v>244</v>
      </c>
      <c r="D160" s="49" t="s">
        <v>105</v>
      </c>
      <c r="E160" s="47"/>
      <c r="F160" s="57">
        <f t="shared" si="73"/>
        <v>0</v>
      </c>
      <c r="G160" s="53"/>
      <c r="H160" s="53"/>
      <c r="I160" s="53"/>
      <c r="J160" s="57">
        <f t="shared" si="69"/>
        <v>0</v>
      </c>
      <c r="K160" s="53"/>
      <c r="L160" s="53"/>
      <c r="M160" s="53"/>
      <c r="N160" s="57">
        <f t="shared" si="70"/>
        <v>0</v>
      </c>
      <c r="O160" s="53"/>
      <c r="P160" s="53"/>
      <c r="Q160" s="53"/>
      <c r="R160" s="57">
        <f t="shared" si="71"/>
        <v>0</v>
      </c>
      <c r="S160" s="65"/>
      <c r="T160" s="65"/>
      <c r="U160" s="65"/>
      <c r="V160" s="67">
        <f t="shared" si="72"/>
        <v>0</v>
      </c>
    </row>
    <row r="161" spans="1:22" s="36" customFormat="1" ht="60" customHeight="1" hidden="1">
      <c r="A161" s="98"/>
      <c r="B161" s="42" t="s">
        <v>292</v>
      </c>
      <c r="C161" s="39">
        <v>244</v>
      </c>
      <c r="D161" s="49"/>
      <c r="E161" s="47"/>
      <c r="F161" s="57">
        <f>J161+N161+R161+V161</f>
        <v>0</v>
      </c>
      <c r="G161" s="53">
        <f>G162</f>
        <v>0</v>
      </c>
      <c r="H161" s="53">
        <f>H162</f>
        <v>0</v>
      </c>
      <c r="I161" s="53">
        <f>I162</f>
        <v>0</v>
      </c>
      <c r="J161" s="57">
        <f aca="true" t="shared" si="74" ref="J161:J182">SUM(G161:I161)</f>
        <v>0</v>
      </c>
      <c r="K161" s="53">
        <f>K162</f>
        <v>0</v>
      </c>
      <c r="L161" s="53">
        <f>L162</f>
        <v>0</v>
      </c>
      <c r="M161" s="53">
        <f>M162</f>
        <v>0</v>
      </c>
      <c r="N161" s="57">
        <f aca="true" t="shared" si="75" ref="N161:N182">SUM(K161:M161)</f>
        <v>0</v>
      </c>
      <c r="O161" s="53">
        <f>O162</f>
        <v>0</v>
      </c>
      <c r="P161" s="53">
        <f>P162</f>
        <v>0</v>
      </c>
      <c r="Q161" s="53">
        <f>Q162</f>
        <v>0</v>
      </c>
      <c r="R161" s="57">
        <f>SUM(O161:Q161)</f>
        <v>0</v>
      </c>
      <c r="S161" s="65">
        <f>S162</f>
        <v>0</v>
      </c>
      <c r="T161" s="65">
        <f>T162</f>
        <v>0</v>
      </c>
      <c r="U161" s="65">
        <f>U162</f>
        <v>0</v>
      </c>
      <c r="V161" s="67">
        <f>S161+T161+U161</f>
        <v>0</v>
      </c>
    </row>
    <row r="162" spans="1:22" s="36" customFormat="1" ht="25.5" customHeight="1" hidden="1">
      <c r="A162" s="98"/>
      <c r="B162" s="43" t="s">
        <v>212</v>
      </c>
      <c r="C162" s="39">
        <v>244</v>
      </c>
      <c r="D162" s="49" t="s">
        <v>105</v>
      </c>
      <c r="E162" s="47"/>
      <c r="F162" s="57">
        <f>J162+N162+R162+V162</f>
        <v>0</v>
      </c>
      <c r="G162" s="53"/>
      <c r="H162" s="53"/>
      <c r="I162" s="53"/>
      <c r="J162" s="57">
        <f t="shared" si="74"/>
        <v>0</v>
      </c>
      <c r="K162" s="53"/>
      <c r="L162" s="53"/>
      <c r="M162" s="53"/>
      <c r="N162" s="57">
        <f t="shared" si="75"/>
        <v>0</v>
      </c>
      <c r="O162" s="53"/>
      <c r="P162" s="53"/>
      <c r="Q162" s="53"/>
      <c r="R162" s="57">
        <f>SUM(O162:Q162)</f>
        <v>0</v>
      </c>
      <c r="S162" s="65"/>
      <c r="T162" s="65"/>
      <c r="U162" s="65"/>
      <c r="V162" s="67">
        <f>S162+T162+U162</f>
        <v>0</v>
      </c>
    </row>
    <row r="163" spans="1:22" s="36" customFormat="1" ht="85.5" customHeight="1" hidden="1">
      <c r="A163" s="98"/>
      <c r="B163" s="42" t="s">
        <v>293</v>
      </c>
      <c r="C163" s="39">
        <v>244</v>
      </c>
      <c r="D163" s="49"/>
      <c r="E163" s="47"/>
      <c r="F163" s="57">
        <f>J163+N163+R163+V163</f>
        <v>0</v>
      </c>
      <c r="G163" s="53">
        <f>G164</f>
        <v>0</v>
      </c>
      <c r="H163" s="53">
        <f>H164</f>
        <v>0</v>
      </c>
      <c r="I163" s="53">
        <f>I164</f>
        <v>0</v>
      </c>
      <c r="J163" s="57">
        <f t="shared" si="74"/>
        <v>0</v>
      </c>
      <c r="K163" s="53">
        <f>K164</f>
        <v>0</v>
      </c>
      <c r="L163" s="53">
        <f>L164</f>
        <v>0</v>
      </c>
      <c r="M163" s="53">
        <f>M164</f>
        <v>0</v>
      </c>
      <c r="N163" s="57">
        <f t="shared" si="75"/>
        <v>0</v>
      </c>
      <c r="O163" s="53">
        <f>O164</f>
        <v>0</v>
      </c>
      <c r="P163" s="53">
        <f>P164</f>
        <v>0</v>
      </c>
      <c r="Q163" s="53">
        <f>Q164</f>
        <v>0</v>
      </c>
      <c r="R163" s="57">
        <f>SUM(O163:Q163)</f>
        <v>0</v>
      </c>
      <c r="S163" s="65">
        <f>S164</f>
        <v>0</v>
      </c>
      <c r="T163" s="65">
        <f>T164</f>
        <v>0</v>
      </c>
      <c r="U163" s="65">
        <f>U164</f>
        <v>0</v>
      </c>
      <c r="V163" s="67">
        <f>S163+T163+U163</f>
        <v>0</v>
      </c>
    </row>
    <row r="164" spans="1:22" s="36" customFormat="1" ht="21.75" customHeight="1" hidden="1">
      <c r="A164" s="98"/>
      <c r="B164" s="97" t="s">
        <v>226</v>
      </c>
      <c r="C164" s="39">
        <v>244</v>
      </c>
      <c r="D164" s="49" t="s">
        <v>99</v>
      </c>
      <c r="E164" s="47"/>
      <c r="F164" s="57">
        <f>J164+N164+R164+V164</f>
        <v>0</v>
      </c>
      <c r="G164" s="53"/>
      <c r="H164" s="53"/>
      <c r="I164" s="53"/>
      <c r="J164" s="57">
        <f t="shared" si="74"/>
        <v>0</v>
      </c>
      <c r="K164" s="53"/>
      <c r="L164" s="53"/>
      <c r="M164" s="53"/>
      <c r="N164" s="57">
        <f t="shared" si="75"/>
        <v>0</v>
      </c>
      <c r="O164" s="53"/>
      <c r="P164" s="53"/>
      <c r="Q164" s="53"/>
      <c r="R164" s="57">
        <f>SUM(O164:Q164)</f>
        <v>0</v>
      </c>
      <c r="S164" s="65"/>
      <c r="T164" s="65"/>
      <c r="U164" s="65"/>
      <c r="V164" s="67">
        <f>S164+T164+U164</f>
        <v>0</v>
      </c>
    </row>
    <row r="165" spans="1:22" s="36" customFormat="1" ht="128.25" customHeight="1">
      <c r="A165" s="98"/>
      <c r="B165" s="40" t="s">
        <v>179</v>
      </c>
      <c r="C165" s="40">
        <v>500</v>
      </c>
      <c r="D165" s="49"/>
      <c r="E165" s="47"/>
      <c r="F165" s="57">
        <f aca="true" t="shared" si="76" ref="F165:F195">J165+N165+R165+V165</f>
        <v>800</v>
      </c>
      <c r="G165" s="65">
        <f>G166</f>
        <v>0</v>
      </c>
      <c r="H165" s="65">
        <f>H166</f>
        <v>0</v>
      </c>
      <c r="I165" s="65">
        <f>I166</f>
        <v>0</v>
      </c>
      <c r="J165" s="67">
        <f t="shared" si="74"/>
        <v>0</v>
      </c>
      <c r="K165" s="65">
        <f>K166</f>
        <v>0</v>
      </c>
      <c r="L165" s="65">
        <f>L166</f>
        <v>0</v>
      </c>
      <c r="M165" s="65">
        <f>M166</f>
        <v>0</v>
      </c>
      <c r="N165" s="67">
        <f t="shared" si="75"/>
        <v>0</v>
      </c>
      <c r="O165" s="65">
        <f>O166</f>
        <v>800</v>
      </c>
      <c r="P165" s="65">
        <f>P166</f>
        <v>0</v>
      </c>
      <c r="Q165" s="65">
        <f>Q166</f>
        <v>0</v>
      </c>
      <c r="R165" s="57">
        <f t="shared" si="71"/>
        <v>800</v>
      </c>
      <c r="S165" s="65">
        <f>S166</f>
        <v>0</v>
      </c>
      <c r="T165" s="65">
        <f>T166</f>
        <v>0</v>
      </c>
      <c r="U165" s="65">
        <f>U166</f>
        <v>0</v>
      </c>
      <c r="V165" s="67">
        <f t="shared" si="72"/>
        <v>0</v>
      </c>
    </row>
    <row r="166" spans="1:22" s="36" customFormat="1" ht="14.25" customHeight="1">
      <c r="A166" s="98"/>
      <c r="B166" s="39" t="s">
        <v>180</v>
      </c>
      <c r="C166" s="39">
        <v>540</v>
      </c>
      <c r="D166" s="49" t="s">
        <v>130</v>
      </c>
      <c r="E166" s="47"/>
      <c r="F166" s="57">
        <f t="shared" si="76"/>
        <v>800</v>
      </c>
      <c r="G166" s="65">
        <v>0</v>
      </c>
      <c r="H166" s="65">
        <v>0</v>
      </c>
      <c r="I166" s="65">
        <v>0</v>
      </c>
      <c r="J166" s="67">
        <f t="shared" si="74"/>
        <v>0</v>
      </c>
      <c r="K166" s="65">
        <v>0</v>
      </c>
      <c r="L166" s="65">
        <v>0</v>
      </c>
      <c r="M166" s="65">
        <f>800-800</f>
        <v>0</v>
      </c>
      <c r="N166" s="67">
        <f t="shared" si="75"/>
        <v>0</v>
      </c>
      <c r="O166" s="65">
        <v>800</v>
      </c>
      <c r="P166" s="65">
        <v>0</v>
      </c>
      <c r="Q166" s="65">
        <v>0</v>
      </c>
      <c r="R166" s="57">
        <f t="shared" si="71"/>
        <v>800</v>
      </c>
      <c r="S166" s="65">
        <f>800-800</f>
        <v>0</v>
      </c>
      <c r="T166" s="65">
        <v>0</v>
      </c>
      <c r="U166" s="65">
        <v>0</v>
      </c>
      <c r="V166" s="67">
        <f t="shared" si="72"/>
        <v>0</v>
      </c>
    </row>
    <row r="167" spans="1:22" s="36" customFormat="1" ht="60" customHeight="1">
      <c r="A167" s="98"/>
      <c r="B167" s="115" t="s">
        <v>301</v>
      </c>
      <c r="C167" s="40">
        <v>200</v>
      </c>
      <c r="D167" s="49"/>
      <c r="E167" s="47"/>
      <c r="F167" s="51">
        <f t="shared" si="76"/>
        <v>1833.33</v>
      </c>
      <c r="G167" s="61">
        <f>G168+G172+G170</f>
        <v>0</v>
      </c>
      <c r="H167" s="61">
        <f>H168+H172+H170</f>
        <v>0</v>
      </c>
      <c r="I167" s="61">
        <f>I168+I172+I170</f>
        <v>0</v>
      </c>
      <c r="J167" s="60">
        <f t="shared" si="74"/>
        <v>0</v>
      </c>
      <c r="K167" s="61">
        <f>K168+K172+K170</f>
        <v>0</v>
      </c>
      <c r="L167" s="61">
        <f>L168+L172+L170</f>
        <v>0</v>
      </c>
      <c r="M167" s="52">
        <f>M168+M172+M170</f>
        <v>1833.33</v>
      </c>
      <c r="N167" s="51">
        <f t="shared" si="75"/>
        <v>1833.33</v>
      </c>
      <c r="O167" s="61">
        <f>O168+O172+O170</f>
        <v>0</v>
      </c>
      <c r="P167" s="61">
        <f>P168+P172</f>
        <v>0</v>
      </c>
      <c r="Q167" s="61">
        <f>Q168+Q172</f>
        <v>0</v>
      </c>
      <c r="R167" s="51">
        <f t="shared" si="71"/>
        <v>0</v>
      </c>
      <c r="S167" s="61">
        <f>S168+S172+S170</f>
        <v>0</v>
      </c>
      <c r="T167" s="61">
        <f>T168+T172</f>
        <v>0</v>
      </c>
      <c r="U167" s="61">
        <f>U168+U172</f>
        <v>0</v>
      </c>
      <c r="V167" s="60">
        <f t="shared" si="72"/>
        <v>0</v>
      </c>
    </row>
    <row r="168" spans="1:22" s="36" customFormat="1" ht="67.5" customHeight="1">
      <c r="A168" s="98"/>
      <c r="B168" s="116" t="s">
        <v>302</v>
      </c>
      <c r="C168" s="39">
        <v>240</v>
      </c>
      <c r="D168" s="49"/>
      <c r="E168" s="47"/>
      <c r="F168" s="57">
        <f t="shared" si="76"/>
        <v>733.33</v>
      </c>
      <c r="G168" s="65">
        <f>G169+G174</f>
        <v>0</v>
      </c>
      <c r="H168" s="65">
        <f>H169+H174</f>
        <v>0</v>
      </c>
      <c r="I168" s="65">
        <f>I169+I174</f>
        <v>0</v>
      </c>
      <c r="J168" s="67">
        <f t="shared" si="74"/>
        <v>0</v>
      </c>
      <c r="K168" s="65">
        <f>K169+K174</f>
        <v>0</v>
      </c>
      <c r="L168" s="65">
        <f>L169+L174</f>
        <v>0</v>
      </c>
      <c r="M168" s="53">
        <f>M169+M174</f>
        <v>733.33</v>
      </c>
      <c r="N168" s="57">
        <f t="shared" si="75"/>
        <v>733.33</v>
      </c>
      <c r="O168" s="65">
        <f>O169+O174</f>
        <v>0</v>
      </c>
      <c r="P168" s="65">
        <f>P169+P174</f>
        <v>0</v>
      </c>
      <c r="Q168" s="65">
        <f>Q169+Q174</f>
        <v>0</v>
      </c>
      <c r="R168" s="57">
        <f t="shared" si="71"/>
        <v>0</v>
      </c>
      <c r="S168" s="65">
        <f>S169+S174</f>
        <v>0</v>
      </c>
      <c r="T168" s="65">
        <f>T169+T174</f>
        <v>0</v>
      </c>
      <c r="U168" s="65">
        <f>U169+U174</f>
        <v>0</v>
      </c>
      <c r="V168" s="67">
        <f t="shared" si="72"/>
        <v>0</v>
      </c>
    </row>
    <row r="169" spans="1:22" s="36" customFormat="1" ht="21" customHeight="1">
      <c r="A169" s="98"/>
      <c r="B169" s="43" t="s">
        <v>147</v>
      </c>
      <c r="C169" s="39">
        <v>244</v>
      </c>
      <c r="D169" s="49" t="s">
        <v>103</v>
      </c>
      <c r="E169" s="47"/>
      <c r="F169" s="57">
        <f t="shared" si="76"/>
        <v>733.33</v>
      </c>
      <c r="G169" s="65">
        <v>0</v>
      </c>
      <c r="H169" s="65">
        <v>0</v>
      </c>
      <c r="I169" s="65">
        <v>0</v>
      </c>
      <c r="J169" s="67">
        <f t="shared" si="74"/>
        <v>0</v>
      </c>
      <c r="K169" s="65">
        <f>733.33-733.33</f>
        <v>0</v>
      </c>
      <c r="L169" s="65">
        <v>0</v>
      </c>
      <c r="M169" s="53">
        <v>733.33</v>
      </c>
      <c r="N169" s="57">
        <f t="shared" si="75"/>
        <v>733.33</v>
      </c>
      <c r="O169" s="65">
        <v>0</v>
      </c>
      <c r="P169" s="65">
        <v>0</v>
      </c>
      <c r="Q169" s="65">
        <v>0</v>
      </c>
      <c r="R169" s="57">
        <f t="shared" si="71"/>
        <v>0</v>
      </c>
      <c r="S169" s="65">
        <v>0</v>
      </c>
      <c r="T169" s="65">
        <v>0</v>
      </c>
      <c r="U169" s="65">
        <v>0</v>
      </c>
      <c r="V169" s="67">
        <f t="shared" si="72"/>
        <v>0</v>
      </c>
    </row>
    <row r="170" spans="1:22" s="36" customFormat="1" ht="61.5" customHeight="1">
      <c r="A170" s="98"/>
      <c r="B170" s="116" t="s">
        <v>303</v>
      </c>
      <c r="C170" s="39">
        <v>240</v>
      </c>
      <c r="D170" s="49"/>
      <c r="E170" s="47"/>
      <c r="F170" s="57">
        <f>J170+N170+R170+V170</f>
        <v>1100</v>
      </c>
      <c r="G170" s="65">
        <f>G171</f>
        <v>0</v>
      </c>
      <c r="H170" s="65">
        <f>H171</f>
        <v>0</v>
      </c>
      <c r="I170" s="65">
        <f>I171</f>
        <v>0</v>
      </c>
      <c r="J170" s="67">
        <f>SUM(G170:I170)</f>
        <v>0</v>
      </c>
      <c r="K170" s="65">
        <f>K171</f>
        <v>0</v>
      </c>
      <c r="L170" s="65">
        <f>L171</f>
        <v>0</v>
      </c>
      <c r="M170" s="53">
        <f>M171</f>
        <v>1100</v>
      </c>
      <c r="N170" s="57">
        <f>SUM(K170:M170)</f>
        <v>1100</v>
      </c>
      <c r="O170" s="65">
        <f>O171</f>
        <v>0</v>
      </c>
      <c r="P170" s="65">
        <f>P171</f>
        <v>0</v>
      </c>
      <c r="Q170" s="65">
        <f>Q171</f>
        <v>0</v>
      </c>
      <c r="R170" s="57">
        <f>SUM(O170:Q170)</f>
        <v>0</v>
      </c>
      <c r="S170" s="65">
        <f>S171</f>
        <v>0</v>
      </c>
      <c r="T170" s="65">
        <f>T171</f>
        <v>0</v>
      </c>
      <c r="U170" s="65">
        <f>U171</f>
        <v>0</v>
      </c>
      <c r="V170" s="67">
        <f>S170+T170+U170</f>
        <v>0</v>
      </c>
    </row>
    <row r="171" spans="1:22" s="36" customFormat="1" ht="16.5" customHeight="1">
      <c r="A171" s="98"/>
      <c r="B171" s="43" t="s">
        <v>147</v>
      </c>
      <c r="C171" s="39">
        <v>244</v>
      </c>
      <c r="D171" s="49" t="s">
        <v>105</v>
      </c>
      <c r="E171" s="47"/>
      <c r="F171" s="57">
        <f>J171+N171+R171+V171</f>
        <v>1100</v>
      </c>
      <c r="G171" s="65">
        <v>0</v>
      </c>
      <c r="H171" s="65">
        <v>0</v>
      </c>
      <c r="I171" s="65">
        <v>0</v>
      </c>
      <c r="J171" s="67">
        <f>SUM(G171:I171)</f>
        <v>0</v>
      </c>
      <c r="K171" s="65">
        <f>1100-1100</f>
        <v>0</v>
      </c>
      <c r="L171" s="65">
        <v>0</v>
      </c>
      <c r="M171" s="53">
        <v>1100</v>
      </c>
      <c r="N171" s="57">
        <f>SUM(K171:M171)</f>
        <v>1100</v>
      </c>
      <c r="O171" s="65">
        <v>0</v>
      </c>
      <c r="P171" s="65">
        <v>0</v>
      </c>
      <c r="Q171" s="65">
        <v>0</v>
      </c>
      <c r="R171" s="57">
        <f>SUM(O171:Q171)</f>
        <v>0</v>
      </c>
      <c r="S171" s="65">
        <f>253.22-253.22</f>
        <v>0</v>
      </c>
      <c r="T171" s="65">
        <v>0</v>
      </c>
      <c r="U171" s="65">
        <v>0</v>
      </c>
      <c r="V171" s="67">
        <f>S171+T171+U171</f>
        <v>0</v>
      </c>
    </row>
    <row r="172" spans="1:22" s="36" customFormat="1" ht="14.25" customHeight="1" hidden="1">
      <c r="A172" s="98"/>
      <c r="B172" s="39"/>
      <c r="C172" s="39"/>
      <c r="D172" s="49"/>
      <c r="E172" s="47"/>
      <c r="F172" s="57"/>
      <c r="G172" s="53"/>
      <c r="H172" s="53"/>
      <c r="I172" s="53"/>
      <c r="J172" s="57"/>
      <c r="K172" s="53"/>
      <c r="L172" s="53"/>
      <c r="M172" s="53"/>
      <c r="N172" s="57"/>
      <c r="O172" s="53"/>
      <c r="P172" s="53"/>
      <c r="Q172" s="53"/>
      <c r="R172" s="57"/>
      <c r="S172" s="53"/>
      <c r="T172" s="53"/>
      <c r="U172" s="53"/>
      <c r="V172" s="57"/>
    </row>
    <row r="173" spans="1:22" s="36" customFormat="1" ht="14.25" customHeight="1" hidden="1">
      <c r="A173" s="98"/>
      <c r="B173" s="39"/>
      <c r="C173" s="39"/>
      <c r="D173" s="49"/>
      <c r="E173" s="47"/>
      <c r="F173" s="57"/>
      <c r="G173" s="53"/>
      <c r="H173" s="53"/>
      <c r="I173" s="53"/>
      <c r="J173" s="57"/>
      <c r="K173" s="53"/>
      <c r="L173" s="53"/>
      <c r="M173" s="53"/>
      <c r="N173" s="57"/>
      <c r="O173" s="53"/>
      <c r="P173" s="53"/>
      <c r="Q173" s="53"/>
      <c r="R173" s="57"/>
      <c r="S173" s="53"/>
      <c r="T173" s="53"/>
      <c r="U173" s="53"/>
      <c r="V173" s="57"/>
    </row>
    <row r="174" spans="1:22" s="36" customFormat="1" ht="14.25" customHeight="1" hidden="1">
      <c r="A174" s="98"/>
      <c r="B174" s="39"/>
      <c r="C174" s="39"/>
      <c r="D174" s="49"/>
      <c r="E174" s="47"/>
      <c r="F174" s="57"/>
      <c r="G174" s="53"/>
      <c r="H174" s="53"/>
      <c r="I174" s="53"/>
      <c r="J174" s="57"/>
      <c r="K174" s="53"/>
      <c r="L174" s="53"/>
      <c r="M174" s="53"/>
      <c r="N174" s="57"/>
      <c r="O174" s="53"/>
      <c r="P174" s="53"/>
      <c r="Q174" s="53"/>
      <c r="R174" s="57"/>
      <c r="S174" s="53"/>
      <c r="T174" s="53"/>
      <c r="U174" s="53"/>
      <c r="V174" s="57"/>
    </row>
    <row r="175" spans="1:22" s="36" customFormat="1" ht="14.25" customHeight="1" hidden="1">
      <c r="A175" s="98"/>
      <c r="B175" s="39"/>
      <c r="C175" s="39"/>
      <c r="D175" s="49"/>
      <c r="E175" s="47"/>
      <c r="F175" s="57"/>
      <c r="G175" s="53"/>
      <c r="H175" s="53"/>
      <c r="I175" s="53"/>
      <c r="J175" s="57"/>
      <c r="K175" s="53"/>
      <c r="L175" s="53"/>
      <c r="M175" s="53"/>
      <c r="N175" s="57"/>
      <c r="O175" s="53"/>
      <c r="P175" s="53"/>
      <c r="Q175" s="53"/>
      <c r="R175" s="57"/>
      <c r="S175" s="53"/>
      <c r="T175" s="53"/>
      <c r="U175" s="53"/>
      <c r="V175" s="57"/>
    </row>
    <row r="176" spans="1:22" s="36" customFormat="1" ht="14.25" customHeight="1" hidden="1">
      <c r="A176" s="98"/>
      <c r="B176" s="39"/>
      <c r="C176" s="39"/>
      <c r="D176" s="49"/>
      <c r="E176" s="47"/>
      <c r="F176" s="57"/>
      <c r="G176" s="53"/>
      <c r="H176" s="53"/>
      <c r="I176" s="53"/>
      <c r="J176" s="57"/>
      <c r="K176" s="53"/>
      <c r="L176" s="53"/>
      <c r="M176" s="53"/>
      <c r="N176" s="57"/>
      <c r="O176" s="53"/>
      <c r="P176" s="53"/>
      <c r="Q176" s="53"/>
      <c r="R176" s="57"/>
      <c r="S176" s="53"/>
      <c r="T176" s="53"/>
      <c r="U176" s="53"/>
      <c r="V176" s="57"/>
    </row>
    <row r="177" spans="1:22" s="36" customFormat="1" ht="14.25" customHeight="1" hidden="1">
      <c r="A177" s="98"/>
      <c r="B177" s="39"/>
      <c r="C177" s="39"/>
      <c r="D177" s="49"/>
      <c r="E177" s="47"/>
      <c r="F177" s="57"/>
      <c r="G177" s="53"/>
      <c r="H177" s="53"/>
      <c r="I177" s="53"/>
      <c r="J177" s="57"/>
      <c r="K177" s="53"/>
      <c r="L177" s="53"/>
      <c r="M177" s="53"/>
      <c r="N177" s="57"/>
      <c r="O177" s="53"/>
      <c r="P177" s="53"/>
      <c r="Q177" s="53"/>
      <c r="R177" s="57"/>
      <c r="S177" s="53"/>
      <c r="T177" s="53"/>
      <c r="U177" s="53"/>
      <c r="V177" s="57"/>
    </row>
    <row r="178" spans="1:22" s="36" customFormat="1" ht="14.25" customHeight="1" hidden="1">
      <c r="A178" s="98"/>
      <c r="B178" s="39"/>
      <c r="C178" s="39"/>
      <c r="D178" s="49"/>
      <c r="E178" s="47"/>
      <c r="F178" s="57"/>
      <c r="G178" s="53"/>
      <c r="H178" s="53"/>
      <c r="I178" s="53"/>
      <c r="J178" s="57"/>
      <c r="K178" s="53"/>
      <c r="L178" s="53"/>
      <c r="M178" s="53"/>
      <c r="N178" s="57"/>
      <c r="O178" s="53"/>
      <c r="P178" s="53"/>
      <c r="Q178" s="53"/>
      <c r="R178" s="57"/>
      <c r="S178" s="53"/>
      <c r="T178" s="53"/>
      <c r="U178" s="53"/>
      <c r="V178" s="57"/>
    </row>
    <row r="179" spans="1:22" s="36" customFormat="1" ht="14.25" customHeight="1" hidden="1">
      <c r="A179" s="98"/>
      <c r="B179" s="39"/>
      <c r="C179" s="39"/>
      <c r="D179" s="49"/>
      <c r="E179" s="47"/>
      <c r="F179" s="57"/>
      <c r="G179" s="53"/>
      <c r="H179" s="53"/>
      <c r="I179" s="53"/>
      <c r="J179" s="57"/>
      <c r="K179" s="53"/>
      <c r="L179" s="53"/>
      <c r="M179" s="53"/>
      <c r="N179" s="57"/>
      <c r="O179" s="53"/>
      <c r="P179" s="53"/>
      <c r="Q179" s="53"/>
      <c r="R179" s="57"/>
      <c r="S179" s="53"/>
      <c r="T179" s="53"/>
      <c r="U179" s="53"/>
      <c r="V179" s="57"/>
    </row>
    <row r="180" spans="1:22" s="36" customFormat="1" ht="14.25" customHeight="1" hidden="1">
      <c r="A180" s="98"/>
      <c r="B180" s="39"/>
      <c r="C180" s="39"/>
      <c r="D180" s="49"/>
      <c r="E180" s="47"/>
      <c r="F180" s="57"/>
      <c r="G180" s="53"/>
      <c r="H180" s="53"/>
      <c r="I180" s="53"/>
      <c r="J180" s="57"/>
      <c r="K180" s="53"/>
      <c r="L180" s="53"/>
      <c r="M180" s="53"/>
      <c r="N180" s="57"/>
      <c r="O180" s="53"/>
      <c r="P180" s="53"/>
      <c r="Q180" s="53"/>
      <c r="R180" s="57"/>
      <c r="S180" s="53"/>
      <c r="T180" s="53"/>
      <c r="U180" s="53"/>
      <c r="V180" s="57"/>
    </row>
    <row r="181" spans="1:22" s="36" customFormat="1" ht="21.75" customHeight="1" hidden="1">
      <c r="A181" s="98"/>
      <c r="B181" s="39" t="s">
        <v>272</v>
      </c>
      <c r="C181" s="39">
        <v>800</v>
      </c>
      <c r="D181" s="49"/>
      <c r="E181" s="47"/>
      <c r="F181" s="57">
        <f>J181+N181+R181+V181</f>
        <v>0</v>
      </c>
      <c r="G181" s="53">
        <f>G182</f>
        <v>0</v>
      </c>
      <c r="H181" s="53">
        <f>H182</f>
        <v>0</v>
      </c>
      <c r="I181" s="53">
        <f>I182</f>
        <v>0</v>
      </c>
      <c r="J181" s="57">
        <f t="shared" si="74"/>
        <v>0</v>
      </c>
      <c r="K181" s="53">
        <f>K182</f>
        <v>0</v>
      </c>
      <c r="L181" s="53">
        <f>L182</f>
        <v>0</v>
      </c>
      <c r="M181" s="53">
        <f>M182</f>
        <v>0</v>
      </c>
      <c r="N181" s="57">
        <f t="shared" si="75"/>
        <v>0</v>
      </c>
      <c r="O181" s="53">
        <f>O182</f>
        <v>0</v>
      </c>
      <c r="P181" s="53">
        <f>P182</f>
        <v>0</v>
      </c>
      <c r="Q181" s="53">
        <f>Q182</f>
        <v>0</v>
      </c>
      <c r="R181" s="57">
        <f>SUM(O181:Q181)</f>
        <v>0</v>
      </c>
      <c r="S181" s="53">
        <f>S182</f>
        <v>0</v>
      </c>
      <c r="T181" s="53">
        <f>T182</f>
        <v>0</v>
      </c>
      <c r="U181" s="53">
        <f>U182</f>
        <v>0</v>
      </c>
      <c r="V181" s="57">
        <f t="shared" si="72"/>
        <v>0</v>
      </c>
    </row>
    <row r="182" spans="1:22" s="36" customFormat="1" ht="14.25" customHeight="1" hidden="1">
      <c r="A182" s="98"/>
      <c r="B182" s="39" t="s">
        <v>212</v>
      </c>
      <c r="C182" s="39">
        <v>870</v>
      </c>
      <c r="D182" s="49" t="s">
        <v>103</v>
      </c>
      <c r="E182" s="47"/>
      <c r="F182" s="57">
        <f>J182+N182+R182+V182</f>
        <v>0</v>
      </c>
      <c r="G182" s="53">
        <v>0</v>
      </c>
      <c r="H182" s="53">
        <v>0</v>
      </c>
      <c r="I182" s="53">
        <v>0</v>
      </c>
      <c r="J182" s="57">
        <f t="shared" si="74"/>
        <v>0</v>
      </c>
      <c r="K182" s="53"/>
      <c r="L182" s="53"/>
      <c r="M182" s="53"/>
      <c r="N182" s="57">
        <f t="shared" si="75"/>
        <v>0</v>
      </c>
      <c r="O182" s="53"/>
      <c r="P182" s="53"/>
      <c r="Q182" s="53"/>
      <c r="R182" s="57">
        <f>SUM(O182:Q182)</f>
        <v>0</v>
      </c>
      <c r="S182" s="53"/>
      <c r="T182" s="53"/>
      <c r="U182" s="53"/>
      <c r="V182" s="57">
        <f t="shared" si="72"/>
        <v>0</v>
      </c>
    </row>
    <row r="183" spans="1:22" s="36" customFormat="1" ht="18" customHeight="1">
      <c r="A183" s="98"/>
      <c r="B183" s="40" t="s">
        <v>162</v>
      </c>
      <c r="C183" s="40"/>
      <c r="D183" s="49"/>
      <c r="E183" s="47"/>
      <c r="F183" s="50">
        <f t="shared" si="76"/>
        <v>1456.2</v>
      </c>
      <c r="G183" s="66">
        <f>G184+G190+G186+G188+G194+G196+G192</f>
        <v>0</v>
      </c>
      <c r="H183" s="54">
        <f>H184+H190+H186+H188+H194+H196+H192</f>
        <v>121.4</v>
      </c>
      <c r="I183" s="54">
        <f>I184+I190+I186+I188+I194+I196+I192</f>
        <v>242.65</v>
      </c>
      <c r="J183" s="50">
        <f aca="true" t="shared" si="77" ref="J183:J191">G183+H183+I183</f>
        <v>364.05</v>
      </c>
      <c r="K183" s="66">
        <f>K184+K190+K186+K188+K194+K196+K192</f>
        <v>0</v>
      </c>
      <c r="L183" s="54">
        <f>L184+L190+L186+L188+L194+L196+L192</f>
        <v>54.6</v>
      </c>
      <c r="M183" s="54">
        <f>M184+M190+M186+M188+M194+M196+M192</f>
        <v>109.45</v>
      </c>
      <c r="N183" s="50">
        <f>K183+L183++M183</f>
        <v>164.05</v>
      </c>
      <c r="O183" s="54">
        <f>O184+O190+O186+O188+O194+O196+O192</f>
        <v>188</v>
      </c>
      <c r="P183" s="54">
        <f>P184+P190+P186+P188+P194+P196+P192</f>
        <v>188</v>
      </c>
      <c r="Q183" s="54">
        <f>Q184+Q190+Q186+Q188+Q194+Q196+Q192</f>
        <v>188.05</v>
      </c>
      <c r="R183" s="50">
        <f>O183+P183+Q183</f>
        <v>564.05</v>
      </c>
      <c r="S183" s="54">
        <f>S184+S190+S186+S188+S194+S196+S192</f>
        <v>121.24999999999993</v>
      </c>
      <c r="T183" s="54">
        <f>T184+T190+T186+T188+T194+T196+T192</f>
        <v>121.4</v>
      </c>
      <c r="U183" s="54">
        <f>U184+U190+U186+U188+U194+U196+U192</f>
        <v>121.4</v>
      </c>
      <c r="V183" s="50">
        <f t="shared" si="72"/>
        <v>364.04999999999995</v>
      </c>
    </row>
    <row r="184" spans="1:22" s="36" customFormat="1" ht="46.5" customHeight="1" hidden="1">
      <c r="A184" s="98"/>
      <c r="B184" s="40" t="s">
        <v>232</v>
      </c>
      <c r="C184" s="40">
        <v>240</v>
      </c>
      <c r="D184" s="49"/>
      <c r="E184" s="47"/>
      <c r="F184" s="51">
        <f t="shared" si="76"/>
        <v>0</v>
      </c>
      <c r="G184" s="61">
        <f>G185</f>
        <v>0</v>
      </c>
      <c r="H184" s="52">
        <f>H185</f>
        <v>0</v>
      </c>
      <c r="I184" s="52">
        <f>I185</f>
        <v>0</v>
      </c>
      <c r="J184" s="51">
        <f t="shared" si="77"/>
        <v>0</v>
      </c>
      <c r="K184" s="61">
        <f>K185</f>
        <v>0</v>
      </c>
      <c r="L184" s="52">
        <f>L185</f>
        <v>0</v>
      </c>
      <c r="M184" s="52">
        <f>M185</f>
        <v>0</v>
      </c>
      <c r="N184" s="51">
        <f aca="true" t="shared" si="78" ref="N184:N191">K184+L184+M184</f>
        <v>0</v>
      </c>
      <c r="O184" s="52">
        <f>O185</f>
        <v>0</v>
      </c>
      <c r="P184" s="52">
        <f>P185</f>
        <v>0</v>
      </c>
      <c r="Q184" s="52">
        <f>Q185</f>
        <v>0</v>
      </c>
      <c r="R184" s="51">
        <f aca="true" t="shared" si="79" ref="R184:R191">O184+P184+Q184</f>
        <v>0</v>
      </c>
      <c r="S184" s="52">
        <f>S185</f>
        <v>0</v>
      </c>
      <c r="T184" s="52">
        <f>T185</f>
        <v>0</v>
      </c>
      <c r="U184" s="52">
        <f>U185</f>
        <v>0</v>
      </c>
      <c r="V184" s="51">
        <f t="shared" si="72"/>
        <v>0</v>
      </c>
    </row>
    <row r="185" spans="1:22" s="36" customFormat="1" ht="12.75" hidden="1">
      <c r="A185" s="98"/>
      <c r="B185" s="39" t="s">
        <v>176</v>
      </c>
      <c r="C185" s="39">
        <v>244</v>
      </c>
      <c r="D185" s="49" t="s">
        <v>103</v>
      </c>
      <c r="E185" s="47"/>
      <c r="F185" s="51">
        <f t="shared" si="76"/>
        <v>0</v>
      </c>
      <c r="G185" s="61"/>
      <c r="H185" s="52"/>
      <c r="I185" s="52"/>
      <c r="J185" s="51">
        <f t="shared" si="77"/>
        <v>0</v>
      </c>
      <c r="K185" s="61"/>
      <c r="L185" s="52"/>
      <c r="M185" s="52"/>
      <c r="N185" s="51">
        <f t="shared" si="78"/>
        <v>0</v>
      </c>
      <c r="O185" s="52"/>
      <c r="P185" s="52"/>
      <c r="Q185" s="52"/>
      <c r="R185" s="51">
        <f t="shared" si="79"/>
        <v>0</v>
      </c>
      <c r="S185" s="52"/>
      <c r="T185" s="52"/>
      <c r="U185" s="52"/>
      <c r="V185" s="51">
        <f t="shared" si="72"/>
        <v>0</v>
      </c>
    </row>
    <row r="186" spans="1:22" s="36" customFormat="1" ht="61.5">
      <c r="A186" s="98"/>
      <c r="B186" s="40" t="s">
        <v>233</v>
      </c>
      <c r="C186" s="40">
        <v>240</v>
      </c>
      <c r="D186" s="49"/>
      <c r="E186" s="47"/>
      <c r="F186" s="51">
        <f t="shared" si="76"/>
        <v>1456.2</v>
      </c>
      <c r="G186" s="61">
        <f>G187</f>
        <v>0</v>
      </c>
      <c r="H186" s="52">
        <f>H187</f>
        <v>121.4</v>
      </c>
      <c r="I186" s="52">
        <f>I187</f>
        <v>242.65</v>
      </c>
      <c r="J186" s="51">
        <f t="shared" si="77"/>
        <v>364.05</v>
      </c>
      <c r="K186" s="61">
        <f>K187</f>
        <v>0</v>
      </c>
      <c r="L186" s="52">
        <f>L187</f>
        <v>54.6</v>
      </c>
      <c r="M186" s="52">
        <f>M187</f>
        <v>109.45</v>
      </c>
      <c r="N186" s="51">
        <f t="shared" si="78"/>
        <v>164.05</v>
      </c>
      <c r="O186" s="52">
        <f>O187</f>
        <v>188</v>
      </c>
      <c r="P186" s="52">
        <f>P187</f>
        <v>188</v>
      </c>
      <c r="Q186" s="52">
        <f>Q187</f>
        <v>188.05</v>
      </c>
      <c r="R186" s="51">
        <f t="shared" si="79"/>
        <v>564.05</v>
      </c>
      <c r="S186" s="52">
        <f>S187</f>
        <v>121.25</v>
      </c>
      <c r="T186" s="52">
        <f>T187</f>
        <v>121.4</v>
      </c>
      <c r="U186" s="52">
        <f>U187</f>
        <v>121.4</v>
      </c>
      <c r="V186" s="51">
        <f t="shared" si="72"/>
        <v>364.05</v>
      </c>
    </row>
    <row r="187" spans="1:22" s="36" customFormat="1" ht="12.75">
      <c r="A187" s="98"/>
      <c r="B187" s="39" t="s">
        <v>176</v>
      </c>
      <c r="C187" s="39">
        <v>244</v>
      </c>
      <c r="D187" s="49" t="s">
        <v>103</v>
      </c>
      <c r="E187" s="47"/>
      <c r="F187" s="51">
        <f t="shared" si="76"/>
        <v>1456.2</v>
      </c>
      <c r="G187" s="61">
        <f>121.25-121.25</f>
        <v>0</v>
      </c>
      <c r="H187" s="52">
        <v>121.4</v>
      </c>
      <c r="I187" s="52">
        <f>121.4+121.25</f>
        <v>242.65</v>
      </c>
      <c r="J187" s="51">
        <f t="shared" si="77"/>
        <v>364.05</v>
      </c>
      <c r="K187" s="61">
        <f>54.6-54.6</f>
        <v>0</v>
      </c>
      <c r="L187" s="52">
        <v>54.6</v>
      </c>
      <c r="M187" s="52">
        <f>54.85+54.6</f>
        <v>109.45</v>
      </c>
      <c r="N187" s="51">
        <f t="shared" si="78"/>
        <v>164.05</v>
      </c>
      <c r="O187" s="52">
        <v>188</v>
      </c>
      <c r="P187" s="52">
        <v>188</v>
      </c>
      <c r="Q187" s="52">
        <v>188.05</v>
      </c>
      <c r="R187" s="51">
        <f t="shared" si="79"/>
        <v>564.05</v>
      </c>
      <c r="S187" s="52">
        <v>121.25</v>
      </c>
      <c r="T187" s="52">
        <v>121.4</v>
      </c>
      <c r="U187" s="52">
        <v>121.4</v>
      </c>
      <c r="V187" s="51">
        <f t="shared" si="72"/>
        <v>364.05</v>
      </c>
    </row>
    <row r="188" spans="1:22" s="36" customFormat="1" ht="21" customHeight="1" hidden="1">
      <c r="A188" s="98"/>
      <c r="B188" s="40" t="s">
        <v>234</v>
      </c>
      <c r="C188" s="40">
        <v>240</v>
      </c>
      <c r="D188" s="49"/>
      <c r="E188" s="47"/>
      <c r="F188" s="51">
        <f t="shared" si="76"/>
        <v>0</v>
      </c>
      <c r="G188" s="52">
        <f>G189</f>
        <v>0</v>
      </c>
      <c r="H188" s="52">
        <f>H189</f>
        <v>0</v>
      </c>
      <c r="I188" s="52">
        <f>I189</f>
        <v>0</v>
      </c>
      <c r="J188" s="51">
        <f t="shared" si="77"/>
        <v>0</v>
      </c>
      <c r="K188" s="61">
        <f>K189</f>
        <v>0</v>
      </c>
      <c r="L188" s="52">
        <f>L189</f>
        <v>0</v>
      </c>
      <c r="M188" s="52">
        <f>M189</f>
        <v>0</v>
      </c>
      <c r="N188" s="51">
        <f t="shared" si="78"/>
        <v>0</v>
      </c>
      <c r="O188" s="52">
        <f>O189</f>
        <v>0</v>
      </c>
      <c r="P188" s="52">
        <f>P189</f>
        <v>0</v>
      </c>
      <c r="Q188" s="52">
        <f>Q189</f>
        <v>0</v>
      </c>
      <c r="R188" s="51">
        <f t="shared" si="79"/>
        <v>0</v>
      </c>
      <c r="S188" s="52">
        <f>S189</f>
        <v>0</v>
      </c>
      <c r="T188" s="52">
        <f>T189</f>
        <v>0</v>
      </c>
      <c r="U188" s="52">
        <f>U189</f>
        <v>0</v>
      </c>
      <c r="V188" s="51">
        <f t="shared" si="72"/>
        <v>0</v>
      </c>
    </row>
    <row r="189" spans="1:22" s="36" customFormat="1" ht="12.75" customHeight="1" hidden="1">
      <c r="A189" s="98"/>
      <c r="B189" s="39" t="s">
        <v>176</v>
      </c>
      <c r="C189" s="39">
        <v>244</v>
      </c>
      <c r="D189" s="49" t="s">
        <v>103</v>
      </c>
      <c r="E189" s="47"/>
      <c r="F189" s="51">
        <f t="shared" si="76"/>
        <v>0</v>
      </c>
      <c r="G189" s="52"/>
      <c r="H189" s="52"/>
      <c r="I189" s="52"/>
      <c r="J189" s="51">
        <f t="shared" si="77"/>
        <v>0</v>
      </c>
      <c r="K189" s="61"/>
      <c r="L189" s="52"/>
      <c r="M189" s="52"/>
      <c r="N189" s="51">
        <f t="shared" si="78"/>
        <v>0</v>
      </c>
      <c r="O189" s="52"/>
      <c r="P189" s="52"/>
      <c r="Q189" s="52"/>
      <c r="R189" s="51">
        <f t="shared" si="79"/>
        <v>0</v>
      </c>
      <c r="S189" s="52"/>
      <c r="T189" s="52"/>
      <c r="U189" s="52"/>
      <c r="V189" s="51">
        <f t="shared" si="72"/>
        <v>0</v>
      </c>
    </row>
    <row r="190" spans="1:22" s="36" customFormat="1" ht="44.25" customHeight="1" hidden="1">
      <c r="A190" s="98"/>
      <c r="B190" s="40" t="s">
        <v>181</v>
      </c>
      <c r="C190" s="40">
        <v>630</v>
      </c>
      <c r="D190" s="49"/>
      <c r="E190" s="47"/>
      <c r="F190" s="51">
        <f t="shared" si="76"/>
        <v>-7.194245199571014E-14</v>
      </c>
      <c r="G190" s="52">
        <f>G191</f>
        <v>0</v>
      </c>
      <c r="H190" s="52">
        <f>H191</f>
        <v>0</v>
      </c>
      <c r="I190" s="52">
        <f>I191</f>
        <v>0</v>
      </c>
      <c r="J190" s="51">
        <f t="shared" si="77"/>
        <v>0</v>
      </c>
      <c r="K190" s="61">
        <f>K191</f>
        <v>0</v>
      </c>
      <c r="L190" s="52">
        <f>L191</f>
        <v>0</v>
      </c>
      <c r="M190" s="52">
        <f>M191</f>
        <v>0</v>
      </c>
      <c r="N190" s="51">
        <f t="shared" si="78"/>
        <v>0</v>
      </c>
      <c r="O190" s="52">
        <f>O191</f>
        <v>0</v>
      </c>
      <c r="P190" s="52">
        <f>P191</f>
        <v>0</v>
      </c>
      <c r="Q190" s="52">
        <f>Q191</f>
        <v>0</v>
      </c>
      <c r="R190" s="51">
        <f t="shared" si="79"/>
        <v>0</v>
      </c>
      <c r="S190" s="52">
        <f>S191</f>
        <v>-7.194245199571014E-14</v>
      </c>
      <c r="T190" s="52">
        <f>T191</f>
        <v>0</v>
      </c>
      <c r="U190" s="52">
        <f>U191</f>
        <v>0</v>
      </c>
      <c r="V190" s="51">
        <f t="shared" si="72"/>
        <v>-7.194245199571014E-14</v>
      </c>
    </row>
    <row r="191" spans="1:22" s="36" customFormat="1" ht="12.75" customHeight="1" hidden="1">
      <c r="A191" s="98"/>
      <c r="B191" s="39" t="s">
        <v>182</v>
      </c>
      <c r="C191" s="39">
        <v>634</v>
      </c>
      <c r="D191" s="49" t="s">
        <v>134</v>
      </c>
      <c r="E191" s="47"/>
      <c r="F191" s="51">
        <f t="shared" si="76"/>
        <v>-7.194245199571014E-14</v>
      </c>
      <c r="G191" s="52"/>
      <c r="H191" s="52"/>
      <c r="I191" s="52"/>
      <c r="J191" s="51">
        <f t="shared" si="77"/>
        <v>0</v>
      </c>
      <c r="K191" s="61"/>
      <c r="L191" s="52"/>
      <c r="M191" s="52"/>
      <c r="N191" s="51">
        <f t="shared" si="78"/>
        <v>0</v>
      </c>
      <c r="O191" s="52"/>
      <c r="P191" s="52">
        <v>0</v>
      </c>
      <c r="Q191" s="52">
        <v>0</v>
      </c>
      <c r="R191" s="51">
        <f t="shared" si="79"/>
        <v>0</v>
      </c>
      <c r="S191" s="52">
        <f>607.3-0.86936-127.18156-471.48865-7.76043</f>
        <v>-7.194245199571014E-14</v>
      </c>
      <c r="T191" s="52">
        <v>0</v>
      </c>
      <c r="U191" s="52">
        <v>0</v>
      </c>
      <c r="V191" s="51">
        <f t="shared" si="72"/>
        <v>-7.194245199571014E-14</v>
      </c>
    </row>
    <row r="192" spans="1:22" s="36" customFormat="1" ht="57" customHeight="1" hidden="1">
      <c r="A192" s="98"/>
      <c r="B192" s="92" t="s">
        <v>285</v>
      </c>
      <c r="C192" s="39"/>
      <c r="D192" s="49"/>
      <c r="E192" s="47"/>
      <c r="F192" s="51">
        <f t="shared" si="76"/>
        <v>0</v>
      </c>
      <c r="G192" s="52">
        <f>G193</f>
        <v>0</v>
      </c>
      <c r="H192" s="52">
        <f>H193</f>
        <v>0</v>
      </c>
      <c r="I192" s="52">
        <f>I193</f>
        <v>0</v>
      </c>
      <c r="J192" s="51">
        <f aca="true" t="shared" si="80" ref="J192:J197">G192+H192+I192</f>
        <v>0</v>
      </c>
      <c r="K192" s="61">
        <f>K193</f>
        <v>0</v>
      </c>
      <c r="L192" s="52">
        <f>L193</f>
        <v>0</v>
      </c>
      <c r="M192" s="52">
        <f>M193</f>
        <v>0</v>
      </c>
      <c r="N192" s="51">
        <f aca="true" t="shared" si="81" ref="N192:N197">K192+L192+M192</f>
        <v>0</v>
      </c>
      <c r="O192" s="52">
        <f>O193</f>
        <v>0</v>
      </c>
      <c r="P192" s="52">
        <f>P193</f>
        <v>0</v>
      </c>
      <c r="Q192" s="52">
        <f>Q193</f>
        <v>0</v>
      </c>
      <c r="R192" s="51">
        <f aca="true" t="shared" si="82" ref="R192:R197">O192+P192+Q192</f>
        <v>0</v>
      </c>
      <c r="S192" s="52">
        <f>S193</f>
        <v>0</v>
      </c>
      <c r="T192" s="52">
        <f>T193</f>
        <v>0</v>
      </c>
      <c r="U192" s="52">
        <f>U193</f>
        <v>0</v>
      </c>
      <c r="V192" s="51">
        <f>S192+T192+U192</f>
        <v>0</v>
      </c>
    </row>
    <row r="193" spans="1:22" s="36" customFormat="1" ht="22.5" customHeight="1" hidden="1">
      <c r="A193" s="98"/>
      <c r="B193" s="97" t="s">
        <v>212</v>
      </c>
      <c r="C193" s="39"/>
      <c r="D193" s="49"/>
      <c r="E193" s="47"/>
      <c r="F193" s="51">
        <f t="shared" si="76"/>
        <v>0</v>
      </c>
      <c r="G193" s="52">
        <v>0</v>
      </c>
      <c r="H193" s="52"/>
      <c r="I193" s="52"/>
      <c r="J193" s="51">
        <f t="shared" si="80"/>
        <v>0</v>
      </c>
      <c r="K193" s="61"/>
      <c r="L193" s="52"/>
      <c r="M193" s="52">
        <f>45-45</f>
        <v>0</v>
      </c>
      <c r="N193" s="51">
        <f t="shared" si="81"/>
        <v>0</v>
      </c>
      <c r="O193" s="52"/>
      <c r="P193" s="52"/>
      <c r="Q193" s="52"/>
      <c r="R193" s="51">
        <f t="shared" si="82"/>
        <v>0</v>
      </c>
      <c r="S193" s="52"/>
      <c r="T193" s="52"/>
      <c r="U193" s="52"/>
      <c r="V193" s="51">
        <f>S193+T193+U193</f>
        <v>0</v>
      </c>
    </row>
    <row r="194" spans="1:22" s="36" customFormat="1" ht="66" customHeight="1" hidden="1">
      <c r="A194" s="98"/>
      <c r="B194" s="93" t="s">
        <v>274</v>
      </c>
      <c r="C194" s="39">
        <v>240</v>
      </c>
      <c r="D194" s="49"/>
      <c r="E194" s="47"/>
      <c r="F194" s="51">
        <f t="shared" si="76"/>
        <v>0</v>
      </c>
      <c r="G194" s="52">
        <f>G195</f>
        <v>0</v>
      </c>
      <c r="H194" s="52">
        <f>H195</f>
        <v>0</v>
      </c>
      <c r="I194" s="52">
        <f>I195</f>
        <v>0</v>
      </c>
      <c r="J194" s="51">
        <f t="shared" si="80"/>
        <v>0</v>
      </c>
      <c r="K194" s="61">
        <f>K195</f>
        <v>0</v>
      </c>
      <c r="L194" s="52">
        <f>L195</f>
        <v>0</v>
      </c>
      <c r="M194" s="52">
        <f>M195</f>
        <v>0</v>
      </c>
      <c r="N194" s="51">
        <f t="shared" si="81"/>
        <v>0</v>
      </c>
      <c r="O194" s="52">
        <f>O195</f>
        <v>0</v>
      </c>
      <c r="P194" s="52">
        <f>P195</f>
        <v>0</v>
      </c>
      <c r="Q194" s="52">
        <f>Q195</f>
        <v>0</v>
      </c>
      <c r="R194" s="51">
        <f t="shared" si="82"/>
        <v>0</v>
      </c>
      <c r="S194" s="52">
        <f>S195</f>
        <v>0</v>
      </c>
      <c r="T194" s="52">
        <f>T195</f>
        <v>0</v>
      </c>
      <c r="U194" s="52">
        <f>U195</f>
        <v>0</v>
      </c>
      <c r="V194" s="51">
        <f t="shared" si="72"/>
        <v>0</v>
      </c>
    </row>
    <row r="195" spans="1:22" s="36" customFormat="1" ht="12.75" customHeight="1" hidden="1">
      <c r="A195" s="98"/>
      <c r="B195" s="102" t="s">
        <v>261</v>
      </c>
      <c r="C195" s="39">
        <v>244</v>
      </c>
      <c r="D195" s="49" t="s">
        <v>103</v>
      </c>
      <c r="E195" s="47"/>
      <c r="F195" s="51">
        <f t="shared" si="76"/>
        <v>0</v>
      </c>
      <c r="G195" s="52">
        <v>0</v>
      </c>
      <c r="H195" s="52"/>
      <c r="I195" s="52"/>
      <c r="J195" s="51">
        <f t="shared" si="80"/>
        <v>0</v>
      </c>
      <c r="K195" s="61"/>
      <c r="L195" s="52"/>
      <c r="M195" s="52"/>
      <c r="N195" s="51">
        <f t="shared" si="81"/>
        <v>0</v>
      </c>
      <c r="O195" s="52">
        <v>0</v>
      </c>
      <c r="P195" s="52">
        <v>0</v>
      </c>
      <c r="Q195" s="52">
        <v>0</v>
      </c>
      <c r="R195" s="51">
        <f t="shared" si="82"/>
        <v>0</v>
      </c>
      <c r="S195" s="52"/>
      <c r="T195" s="52">
        <v>0</v>
      </c>
      <c r="U195" s="52">
        <v>0</v>
      </c>
      <c r="V195" s="51">
        <f t="shared" si="72"/>
        <v>0</v>
      </c>
    </row>
    <row r="196" spans="1:22" s="36" customFormat="1" ht="108" customHeight="1" hidden="1">
      <c r="A196" s="98"/>
      <c r="B196" s="92" t="s">
        <v>275</v>
      </c>
      <c r="C196" s="39">
        <v>240</v>
      </c>
      <c r="D196" s="49"/>
      <c r="E196" s="47"/>
      <c r="F196" s="51">
        <f>J196+N196+R196+V196</f>
        <v>0</v>
      </c>
      <c r="G196" s="52">
        <f>G197</f>
        <v>0</v>
      </c>
      <c r="H196" s="52">
        <f>H197</f>
        <v>0</v>
      </c>
      <c r="I196" s="52">
        <f>I197</f>
        <v>0</v>
      </c>
      <c r="J196" s="51">
        <f t="shared" si="80"/>
        <v>0</v>
      </c>
      <c r="K196" s="61">
        <f>K197</f>
        <v>0</v>
      </c>
      <c r="L196" s="52">
        <f>L197</f>
        <v>0</v>
      </c>
      <c r="M196" s="52">
        <f>M197</f>
        <v>0</v>
      </c>
      <c r="N196" s="51">
        <f t="shared" si="81"/>
        <v>0</v>
      </c>
      <c r="O196" s="52">
        <f>O197</f>
        <v>0</v>
      </c>
      <c r="P196" s="52">
        <f>P197</f>
        <v>0</v>
      </c>
      <c r="Q196" s="52">
        <f>Q197</f>
        <v>0</v>
      </c>
      <c r="R196" s="51">
        <f t="shared" si="82"/>
        <v>0</v>
      </c>
      <c r="S196" s="52">
        <f>S197</f>
        <v>0</v>
      </c>
      <c r="T196" s="52">
        <f>T197</f>
        <v>0</v>
      </c>
      <c r="U196" s="52">
        <f>U197</f>
        <v>0</v>
      </c>
      <c r="V196" s="51">
        <f t="shared" si="72"/>
        <v>0</v>
      </c>
    </row>
    <row r="197" spans="1:22" s="36" customFormat="1" ht="12.75" customHeight="1" hidden="1">
      <c r="A197" s="98"/>
      <c r="B197" s="43" t="s">
        <v>256</v>
      </c>
      <c r="C197" s="39">
        <v>244</v>
      </c>
      <c r="D197" s="49" t="s">
        <v>103</v>
      </c>
      <c r="E197" s="47"/>
      <c r="F197" s="51">
        <f>J197+N197+R197+V197</f>
        <v>0</v>
      </c>
      <c r="G197" s="52"/>
      <c r="H197" s="52"/>
      <c r="I197" s="52"/>
      <c r="J197" s="51">
        <f t="shared" si="80"/>
        <v>0</v>
      </c>
      <c r="K197" s="61"/>
      <c r="L197" s="52"/>
      <c r="M197" s="52"/>
      <c r="N197" s="51">
        <f t="shared" si="81"/>
        <v>0</v>
      </c>
      <c r="O197" s="52"/>
      <c r="P197" s="52"/>
      <c r="Q197" s="52"/>
      <c r="R197" s="51">
        <f t="shared" si="82"/>
        <v>0</v>
      </c>
      <c r="S197" s="52"/>
      <c r="T197" s="52"/>
      <c r="U197" s="52"/>
      <c r="V197" s="51">
        <f t="shared" si="72"/>
        <v>0</v>
      </c>
    </row>
    <row r="198" spans="1:22" s="36" customFormat="1" ht="18.75" customHeight="1">
      <c r="A198" s="98"/>
      <c r="B198" s="40" t="s">
        <v>135</v>
      </c>
      <c r="C198" s="40"/>
      <c r="D198" s="101"/>
      <c r="E198" s="88"/>
      <c r="F198" s="50">
        <f>N198+R198+V198+J198</f>
        <v>2838</v>
      </c>
      <c r="G198" s="54">
        <f>G199+G201</f>
        <v>1842.58</v>
      </c>
      <c r="H198" s="66">
        <f>H199+H201</f>
        <v>0</v>
      </c>
      <c r="I198" s="54">
        <f>I199+I201</f>
        <v>595.42</v>
      </c>
      <c r="J198" s="50">
        <f>SUM(G198:I198)</f>
        <v>2438</v>
      </c>
      <c r="K198" s="66">
        <f>K199+K201</f>
        <v>0</v>
      </c>
      <c r="L198" s="66">
        <f>L199+L201</f>
        <v>0</v>
      </c>
      <c r="M198" s="66">
        <f>M199+M201</f>
        <v>0</v>
      </c>
      <c r="N198" s="64">
        <f>SUM(K198:M198)</f>
        <v>0</v>
      </c>
      <c r="O198" s="66">
        <f>O199+O201</f>
        <v>0</v>
      </c>
      <c r="P198" s="66">
        <f>P199+P201</f>
        <v>0</v>
      </c>
      <c r="Q198" s="54">
        <f>Q199+Q201</f>
        <v>400</v>
      </c>
      <c r="R198" s="50">
        <f>SUM(O198:Q198)</f>
        <v>400</v>
      </c>
      <c r="S198" s="66">
        <f>S199+S201</f>
        <v>0</v>
      </c>
      <c r="T198" s="66">
        <f>T199+T201</f>
        <v>0</v>
      </c>
      <c r="U198" s="66">
        <f>U199+U201</f>
        <v>0</v>
      </c>
      <c r="V198" s="64">
        <f>SUM(S198:U198)</f>
        <v>0</v>
      </c>
    </row>
    <row r="199" spans="1:22" s="36" customFormat="1" ht="123" customHeight="1">
      <c r="A199" s="98"/>
      <c r="B199" s="40" t="s">
        <v>179</v>
      </c>
      <c r="C199" s="40">
        <v>500</v>
      </c>
      <c r="D199" s="49"/>
      <c r="E199" s="47"/>
      <c r="F199" s="57">
        <f aca="true" t="shared" si="83" ref="F199:F223">J199+N199+R199+V199</f>
        <v>400</v>
      </c>
      <c r="G199" s="65">
        <f>G200</f>
        <v>0</v>
      </c>
      <c r="H199" s="65">
        <f>H200</f>
        <v>0</v>
      </c>
      <c r="I199" s="65">
        <f>I200</f>
        <v>0</v>
      </c>
      <c r="J199" s="67">
        <f>SUM(G199:I199)</f>
        <v>0</v>
      </c>
      <c r="K199" s="65">
        <f>K200</f>
        <v>0</v>
      </c>
      <c r="L199" s="65">
        <f>L200</f>
        <v>0</v>
      </c>
      <c r="M199" s="65">
        <f>M200</f>
        <v>0</v>
      </c>
      <c r="N199" s="67">
        <f>SUM(K199:M199)</f>
        <v>0</v>
      </c>
      <c r="O199" s="65">
        <f>O200</f>
        <v>0</v>
      </c>
      <c r="P199" s="65">
        <f>P200</f>
        <v>0</v>
      </c>
      <c r="Q199" s="53">
        <f>Q200</f>
        <v>400</v>
      </c>
      <c r="R199" s="57">
        <f>SUM(O199:Q199)</f>
        <v>400</v>
      </c>
      <c r="S199" s="65">
        <f>S200</f>
        <v>0</v>
      </c>
      <c r="T199" s="65">
        <f>T200</f>
        <v>0</v>
      </c>
      <c r="U199" s="65">
        <f>U200</f>
        <v>0</v>
      </c>
      <c r="V199" s="67">
        <f>S199+T199+U199</f>
        <v>0</v>
      </c>
    </row>
    <row r="200" spans="1:22" s="36" customFormat="1" ht="15.75" customHeight="1">
      <c r="A200" s="98"/>
      <c r="B200" s="39" t="s">
        <v>180</v>
      </c>
      <c r="C200" s="39">
        <v>540</v>
      </c>
      <c r="D200" s="49" t="s">
        <v>130</v>
      </c>
      <c r="E200" s="47"/>
      <c r="F200" s="57">
        <f t="shared" si="83"/>
        <v>400</v>
      </c>
      <c r="G200" s="65">
        <v>0</v>
      </c>
      <c r="H200" s="65">
        <v>0</v>
      </c>
      <c r="I200" s="65">
        <v>0</v>
      </c>
      <c r="J200" s="67">
        <f>SUM(G200:I200)</f>
        <v>0</v>
      </c>
      <c r="K200" s="65">
        <v>0</v>
      </c>
      <c r="L200" s="65">
        <v>0</v>
      </c>
      <c r="M200" s="65">
        <v>0</v>
      </c>
      <c r="N200" s="67">
        <f>SUM(K200:M200)</f>
        <v>0</v>
      </c>
      <c r="O200" s="65">
        <f>400-400</f>
        <v>0</v>
      </c>
      <c r="P200" s="65">
        <v>0</v>
      </c>
      <c r="Q200" s="53">
        <v>400</v>
      </c>
      <c r="R200" s="57">
        <f>SUM(O200:Q200)</f>
        <v>400</v>
      </c>
      <c r="S200" s="65">
        <v>0</v>
      </c>
      <c r="T200" s="65">
        <f>800-800</f>
        <v>0</v>
      </c>
      <c r="U200" s="65">
        <v>0</v>
      </c>
      <c r="V200" s="67">
        <f>S200+T200+U200</f>
        <v>0</v>
      </c>
    </row>
    <row r="201" spans="1:22" s="36" customFormat="1" ht="77.25" customHeight="1">
      <c r="A201" s="98"/>
      <c r="B201" s="40" t="s">
        <v>259</v>
      </c>
      <c r="C201" s="95"/>
      <c r="D201" s="95"/>
      <c r="E201" s="47"/>
      <c r="F201" s="50">
        <f t="shared" si="83"/>
        <v>2438</v>
      </c>
      <c r="G201" s="50">
        <f>G202+G204+G206</f>
        <v>1842.58</v>
      </c>
      <c r="H201" s="64">
        <f>H202+H204+H206</f>
        <v>0</v>
      </c>
      <c r="I201" s="50">
        <f>I202+I204+I206</f>
        <v>595.42</v>
      </c>
      <c r="J201" s="50">
        <f>G201+H201+I201</f>
        <v>2438</v>
      </c>
      <c r="K201" s="64">
        <f>K202+K204+K206</f>
        <v>0</v>
      </c>
      <c r="L201" s="64">
        <f>L202+L204+L206</f>
        <v>0</v>
      </c>
      <c r="M201" s="64">
        <f>M202+M204+M206</f>
        <v>0</v>
      </c>
      <c r="N201" s="64">
        <f>K201+L201+M201</f>
        <v>0</v>
      </c>
      <c r="O201" s="64">
        <f>O202+O204+O206</f>
        <v>0</v>
      </c>
      <c r="P201" s="64">
        <f>P202+P204+P206</f>
        <v>0</v>
      </c>
      <c r="Q201" s="64">
        <f>Q202+Q204+Q206</f>
        <v>0</v>
      </c>
      <c r="R201" s="64">
        <f>O201+P201+Q201</f>
        <v>0</v>
      </c>
      <c r="S201" s="64">
        <f>S202+S204+S206</f>
        <v>0</v>
      </c>
      <c r="T201" s="64">
        <f>T202+T204+T206</f>
        <v>0</v>
      </c>
      <c r="U201" s="64">
        <f>U202+U204+U206</f>
        <v>0</v>
      </c>
      <c r="V201" s="64">
        <f>S201+T201+U201</f>
        <v>0</v>
      </c>
    </row>
    <row r="202" spans="1:22" s="36" customFormat="1" ht="45" customHeight="1" hidden="1">
      <c r="A202" s="98"/>
      <c r="B202" s="42" t="s">
        <v>260</v>
      </c>
      <c r="C202" s="94" t="s">
        <v>115</v>
      </c>
      <c r="D202" s="94"/>
      <c r="E202" s="47"/>
      <c r="F202" s="53">
        <f t="shared" si="83"/>
        <v>0</v>
      </c>
      <c r="G202" s="53">
        <f>G203</f>
        <v>0</v>
      </c>
      <c r="H202" s="65">
        <f>H203</f>
        <v>0</v>
      </c>
      <c r="I202" s="53">
        <f>I203</f>
        <v>0</v>
      </c>
      <c r="J202" s="53">
        <f aca="true" t="shared" si="84" ref="J202:J207">SUM(G202:I202)</f>
        <v>0</v>
      </c>
      <c r="K202" s="65">
        <f>K203</f>
        <v>0</v>
      </c>
      <c r="L202" s="65">
        <f>L203</f>
        <v>0</v>
      </c>
      <c r="M202" s="65">
        <f>M203</f>
        <v>0</v>
      </c>
      <c r="N202" s="65">
        <f aca="true" t="shared" si="85" ref="N202:N207">SUM(K202:M202)</f>
        <v>0</v>
      </c>
      <c r="O202" s="65">
        <f>O203</f>
        <v>0</v>
      </c>
      <c r="P202" s="65">
        <f>P203</f>
        <v>0</v>
      </c>
      <c r="Q202" s="65">
        <f>Q203</f>
        <v>0</v>
      </c>
      <c r="R202" s="65">
        <f aca="true" t="shared" si="86" ref="R202:R207">SUM(O202:Q202)</f>
        <v>0</v>
      </c>
      <c r="S202" s="65">
        <f>S203</f>
        <v>0</v>
      </c>
      <c r="T202" s="65">
        <f>T203</f>
        <v>0</v>
      </c>
      <c r="U202" s="65">
        <f>U203</f>
        <v>0</v>
      </c>
      <c r="V202" s="65">
        <f aca="true" t="shared" si="87" ref="V202:V207">SUM(S202:U202)</f>
        <v>0</v>
      </c>
    </row>
    <row r="203" spans="1:22" s="36" customFormat="1" ht="15.75" customHeight="1" hidden="1">
      <c r="A203" s="98"/>
      <c r="B203" s="102" t="s">
        <v>261</v>
      </c>
      <c r="C203" s="95" t="s">
        <v>262</v>
      </c>
      <c r="D203" s="95" t="s">
        <v>244</v>
      </c>
      <c r="E203" s="47"/>
      <c r="F203" s="51">
        <f t="shared" si="83"/>
        <v>0</v>
      </c>
      <c r="G203" s="52"/>
      <c r="H203" s="61"/>
      <c r="I203" s="52"/>
      <c r="J203" s="51">
        <f t="shared" si="84"/>
        <v>0</v>
      </c>
      <c r="K203" s="61"/>
      <c r="L203" s="61"/>
      <c r="M203" s="61"/>
      <c r="N203" s="60">
        <f t="shared" si="85"/>
        <v>0</v>
      </c>
      <c r="O203" s="61">
        <v>0</v>
      </c>
      <c r="P203" s="61">
        <v>0</v>
      </c>
      <c r="Q203" s="61">
        <v>0</v>
      </c>
      <c r="R203" s="60">
        <f t="shared" si="86"/>
        <v>0</v>
      </c>
      <c r="S203" s="61">
        <v>0</v>
      </c>
      <c r="T203" s="61">
        <v>0</v>
      </c>
      <c r="U203" s="61">
        <v>0</v>
      </c>
      <c r="V203" s="60">
        <f t="shared" si="87"/>
        <v>0</v>
      </c>
    </row>
    <row r="204" spans="1:22" s="36" customFormat="1" ht="124.5" customHeight="1" hidden="1">
      <c r="A204" s="98"/>
      <c r="B204" s="42" t="s">
        <v>291</v>
      </c>
      <c r="C204" s="95" t="s">
        <v>258</v>
      </c>
      <c r="D204" s="95"/>
      <c r="E204" s="47"/>
      <c r="F204" s="57">
        <f t="shared" si="83"/>
        <v>0</v>
      </c>
      <c r="G204" s="52">
        <f>G205</f>
        <v>0</v>
      </c>
      <c r="H204" s="61">
        <f>H205</f>
        <v>0</v>
      </c>
      <c r="I204" s="52">
        <f>I205</f>
        <v>0</v>
      </c>
      <c r="J204" s="53">
        <f t="shared" si="84"/>
        <v>0</v>
      </c>
      <c r="K204" s="61">
        <f>K205</f>
        <v>0</v>
      </c>
      <c r="L204" s="61">
        <f>L205</f>
        <v>0</v>
      </c>
      <c r="M204" s="61">
        <f>M205</f>
        <v>0</v>
      </c>
      <c r="N204" s="65">
        <f t="shared" si="85"/>
        <v>0</v>
      </c>
      <c r="O204" s="61">
        <f>O205</f>
        <v>0</v>
      </c>
      <c r="P204" s="61">
        <f>P205</f>
        <v>0</v>
      </c>
      <c r="Q204" s="61">
        <f>Q205</f>
        <v>0</v>
      </c>
      <c r="R204" s="65">
        <f t="shared" si="86"/>
        <v>0</v>
      </c>
      <c r="S204" s="61">
        <f>S205</f>
        <v>0</v>
      </c>
      <c r="T204" s="61">
        <f>T205</f>
        <v>0</v>
      </c>
      <c r="U204" s="61">
        <f>U205</f>
        <v>0</v>
      </c>
      <c r="V204" s="67">
        <f t="shared" si="87"/>
        <v>0</v>
      </c>
    </row>
    <row r="205" spans="1:22" s="36" customFormat="1" ht="15.75" customHeight="1" hidden="1">
      <c r="A205" s="98"/>
      <c r="B205" s="97" t="s">
        <v>147</v>
      </c>
      <c r="C205" s="95" t="s">
        <v>258</v>
      </c>
      <c r="D205" s="95" t="s">
        <v>105</v>
      </c>
      <c r="E205" s="47"/>
      <c r="F205" s="52">
        <f t="shared" si="83"/>
        <v>0</v>
      </c>
      <c r="G205" s="52"/>
      <c r="H205" s="61"/>
      <c r="I205" s="52"/>
      <c r="J205" s="53">
        <f t="shared" si="84"/>
        <v>0</v>
      </c>
      <c r="K205" s="60"/>
      <c r="L205" s="61"/>
      <c r="M205" s="61"/>
      <c r="N205" s="65">
        <f t="shared" si="85"/>
        <v>0</v>
      </c>
      <c r="O205" s="61"/>
      <c r="P205" s="61"/>
      <c r="Q205" s="61"/>
      <c r="R205" s="65">
        <f t="shared" si="86"/>
        <v>0</v>
      </c>
      <c r="S205" s="60"/>
      <c r="T205" s="61"/>
      <c r="U205" s="61"/>
      <c r="V205" s="65">
        <f t="shared" si="87"/>
        <v>0</v>
      </c>
    </row>
    <row r="206" spans="1:22" s="36" customFormat="1" ht="69.75" customHeight="1">
      <c r="A206" s="98"/>
      <c r="B206" s="42" t="s">
        <v>297</v>
      </c>
      <c r="C206" s="95" t="s">
        <v>258</v>
      </c>
      <c r="D206" s="95"/>
      <c r="E206" s="47"/>
      <c r="F206" s="57">
        <f t="shared" si="83"/>
        <v>2438</v>
      </c>
      <c r="G206" s="52">
        <f>G207</f>
        <v>1842.58</v>
      </c>
      <c r="H206" s="61">
        <f>H207</f>
        <v>0</v>
      </c>
      <c r="I206" s="52">
        <f>I207</f>
        <v>595.42</v>
      </c>
      <c r="J206" s="53">
        <f t="shared" si="84"/>
        <v>2438</v>
      </c>
      <c r="K206" s="61">
        <f>K207</f>
        <v>0</v>
      </c>
      <c r="L206" s="61">
        <f>L207</f>
        <v>0</v>
      </c>
      <c r="M206" s="61">
        <f>M207</f>
        <v>0</v>
      </c>
      <c r="N206" s="65">
        <f t="shared" si="85"/>
        <v>0</v>
      </c>
      <c r="O206" s="61">
        <f>O207</f>
        <v>0</v>
      </c>
      <c r="P206" s="61">
        <f>P207</f>
        <v>0</v>
      </c>
      <c r="Q206" s="61">
        <f>Q207</f>
        <v>0</v>
      </c>
      <c r="R206" s="65">
        <f t="shared" si="86"/>
        <v>0</v>
      </c>
      <c r="S206" s="61">
        <f>S207</f>
        <v>0</v>
      </c>
      <c r="T206" s="61">
        <f>T207</f>
        <v>0</v>
      </c>
      <c r="U206" s="61">
        <f>U207</f>
        <v>0</v>
      </c>
      <c r="V206" s="67">
        <f t="shared" si="87"/>
        <v>0</v>
      </c>
    </row>
    <row r="207" spans="1:22" s="36" customFormat="1" ht="15.75" customHeight="1">
      <c r="A207" s="98"/>
      <c r="B207" s="97" t="s">
        <v>147</v>
      </c>
      <c r="C207" s="95" t="s">
        <v>258</v>
      </c>
      <c r="D207" s="95" t="s">
        <v>105</v>
      </c>
      <c r="E207" s="47"/>
      <c r="F207" s="52">
        <f t="shared" si="83"/>
        <v>2438</v>
      </c>
      <c r="G207" s="52">
        <f>2438-595.42</f>
        <v>1842.58</v>
      </c>
      <c r="H207" s="61">
        <v>0</v>
      </c>
      <c r="I207" s="52">
        <v>595.42</v>
      </c>
      <c r="J207" s="53">
        <f t="shared" si="84"/>
        <v>2438</v>
      </c>
      <c r="K207" s="60">
        <v>0</v>
      </c>
      <c r="L207" s="61">
        <v>0</v>
      </c>
      <c r="M207" s="61">
        <v>0</v>
      </c>
      <c r="N207" s="65">
        <f t="shared" si="85"/>
        <v>0</v>
      </c>
      <c r="O207" s="61">
        <v>0</v>
      </c>
      <c r="P207" s="61">
        <v>0</v>
      </c>
      <c r="Q207" s="61">
        <v>0</v>
      </c>
      <c r="R207" s="65">
        <f t="shared" si="86"/>
        <v>0</v>
      </c>
      <c r="S207" s="61">
        <v>0</v>
      </c>
      <c r="T207" s="61">
        <v>0</v>
      </c>
      <c r="U207" s="61">
        <v>0</v>
      </c>
      <c r="V207" s="65">
        <f t="shared" si="87"/>
        <v>0</v>
      </c>
    </row>
    <row r="208" spans="1:22" s="36" customFormat="1" ht="15.75" customHeight="1" hidden="1">
      <c r="A208" s="98"/>
      <c r="B208" s="39"/>
      <c r="C208" s="39"/>
      <c r="D208" s="49"/>
      <c r="E208" s="47"/>
      <c r="F208" s="57"/>
      <c r="G208" s="53"/>
      <c r="H208" s="53"/>
      <c r="I208" s="53"/>
      <c r="J208" s="57"/>
      <c r="K208" s="53"/>
      <c r="L208" s="53"/>
      <c r="M208" s="53"/>
      <c r="N208" s="57"/>
      <c r="O208" s="53"/>
      <c r="P208" s="53"/>
      <c r="Q208" s="53"/>
      <c r="R208" s="57"/>
      <c r="S208" s="53"/>
      <c r="T208" s="53"/>
      <c r="U208" s="53"/>
      <c r="V208" s="57"/>
    </row>
    <row r="209" spans="1:22" s="36" customFormat="1" ht="15.75" customHeight="1" hidden="1">
      <c r="A209" s="98"/>
      <c r="B209" s="39"/>
      <c r="C209" s="39"/>
      <c r="D209" s="49"/>
      <c r="E209" s="47"/>
      <c r="F209" s="57"/>
      <c r="G209" s="53"/>
      <c r="H209" s="53"/>
      <c r="I209" s="53"/>
      <c r="J209" s="57"/>
      <c r="K209" s="53"/>
      <c r="L209" s="53"/>
      <c r="M209" s="53"/>
      <c r="N209" s="57"/>
      <c r="O209" s="53"/>
      <c r="P209" s="53"/>
      <c r="Q209" s="53"/>
      <c r="R209" s="57"/>
      <c r="S209" s="53"/>
      <c r="T209" s="53"/>
      <c r="U209" s="53"/>
      <c r="V209" s="57"/>
    </row>
    <row r="210" spans="1:22" s="36" customFormat="1" ht="15.75" customHeight="1" hidden="1">
      <c r="A210" s="98"/>
      <c r="B210" s="39"/>
      <c r="C210" s="39"/>
      <c r="D210" s="49"/>
      <c r="E210" s="47"/>
      <c r="F210" s="57"/>
      <c r="G210" s="53"/>
      <c r="H210" s="53"/>
      <c r="I210" s="53"/>
      <c r="J210" s="57"/>
      <c r="K210" s="53"/>
      <c r="L210" s="53"/>
      <c r="M210" s="53"/>
      <c r="N210" s="57"/>
      <c r="O210" s="53"/>
      <c r="P210" s="53"/>
      <c r="Q210" s="53"/>
      <c r="R210" s="57"/>
      <c r="S210" s="53"/>
      <c r="T210" s="53"/>
      <c r="U210" s="53"/>
      <c r="V210" s="57"/>
    </row>
    <row r="211" spans="1:22" s="36" customFormat="1" ht="15.75" customHeight="1" hidden="1">
      <c r="A211" s="98"/>
      <c r="B211" s="39"/>
      <c r="C211" s="39"/>
      <c r="D211" s="49"/>
      <c r="E211" s="47"/>
      <c r="F211" s="57"/>
      <c r="G211" s="53"/>
      <c r="H211" s="53"/>
      <c r="I211" s="53"/>
      <c r="J211" s="57"/>
      <c r="K211" s="53"/>
      <c r="L211" s="53"/>
      <c r="M211" s="53"/>
      <c r="N211" s="57"/>
      <c r="O211" s="53"/>
      <c r="P211" s="53"/>
      <c r="Q211" s="53"/>
      <c r="R211" s="57"/>
      <c r="S211" s="53"/>
      <c r="T211" s="53"/>
      <c r="U211" s="53"/>
      <c r="V211" s="57"/>
    </row>
    <row r="212" spans="1:22" s="36" customFormat="1" ht="15.75" customHeight="1" hidden="1">
      <c r="A212" s="98"/>
      <c r="B212" s="39"/>
      <c r="C212" s="39"/>
      <c r="D212" s="49"/>
      <c r="E212" s="47"/>
      <c r="F212" s="57"/>
      <c r="G212" s="53"/>
      <c r="H212" s="53"/>
      <c r="I212" s="53"/>
      <c r="J212" s="57"/>
      <c r="K212" s="53"/>
      <c r="L212" s="53"/>
      <c r="M212" s="53"/>
      <c r="N212" s="57"/>
      <c r="O212" s="53"/>
      <c r="P212" s="53"/>
      <c r="Q212" s="53"/>
      <c r="R212" s="57"/>
      <c r="S212" s="53"/>
      <c r="T212" s="53"/>
      <c r="U212" s="53"/>
      <c r="V212" s="57"/>
    </row>
    <row r="213" spans="1:22" s="36" customFormat="1" ht="15.75" customHeight="1" hidden="1">
      <c r="A213" s="98"/>
      <c r="B213" s="39"/>
      <c r="C213" s="39"/>
      <c r="D213" s="49"/>
      <c r="E213" s="47"/>
      <c r="F213" s="57"/>
      <c r="G213" s="53"/>
      <c r="H213" s="53"/>
      <c r="I213" s="53"/>
      <c r="J213" s="57"/>
      <c r="K213" s="53"/>
      <c r="L213" s="53"/>
      <c r="M213" s="53"/>
      <c r="N213" s="57"/>
      <c r="O213" s="53"/>
      <c r="P213" s="53"/>
      <c r="Q213" s="53"/>
      <c r="R213" s="57"/>
      <c r="S213" s="53"/>
      <c r="T213" s="53"/>
      <c r="U213" s="53"/>
      <c r="V213" s="57"/>
    </row>
    <row r="214" spans="1:22" s="36" customFormat="1" ht="15.75" customHeight="1" hidden="1">
      <c r="A214" s="98"/>
      <c r="B214" s="39"/>
      <c r="C214" s="39"/>
      <c r="D214" s="49"/>
      <c r="E214" s="47"/>
      <c r="F214" s="57"/>
      <c r="G214" s="53"/>
      <c r="H214" s="53"/>
      <c r="I214" s="53"/>
      <c r="J214" s="57"/>
      <c r="K214" s="53"/>
      <c r="L214" s="53"/>
      <c r="M214" s="53"/>
      <c r="N214" s="57"/>
      <c r="O214" s="53"/>
      <c r="P214" s="53"/>
      <c r="Q214" s="53"/>
      <c r="R214" s="57"/>
      <c r="S214" s="53"/>
      <c r="T214" s="53"/>
      <c r="U214" s="53"/>
      <c r="V214" s="57"/>
    </row>
    <row r="215" spans="1:22" s="36" customFormat="1" ht="15.75" customHeight="1" hidden="1">
      <c r="A215" s="98"/>
      <c r="B215" s="39"/>
      <c r="C215" s="39"/>
      <c r="D215" s="49"/>
      <c r="E215" s="47"/>
      <c r="F215" s="57"/>
      <c r="G215" s="53"/>
      <c r="H215" s="53"/>
      <c r="I215" s="53"/>
      <c r="J215" s="57"/>
      <c r="K215" s="53"/>
      <c r="L215" s="53"/>
      <c r="M215" s="53"/>
      <c r="N215" s="57"/>
      <c r="O215" s="53"/>
      <c r="P215" s="53"/>
      <c r="Q215" s="53"/>
      <c r="R215" s="57"/>
      <c r="S215" s="53"/>
      <c r="T215" s="53"/>
      <c r="U215" s="53"/>
      <c r="V215" s="57"/>
    </row>
    <row r="216" spans="1:22" s="36" customFormat="1" ht="15.75" customHeight="1" hidden="1">
      <c r="A216" s="98"/>
      <c r="B216" s="39"/>
      <c r="C216" s="39"/>
      <c r="D216" s="49"/>
      <c r="E216" s="47"/>
      <c r="F216" s="57"/>
      <c r="G216" s="53"/>
      <c r="H216" s="53"/>
      <c r="I216" s="53"/>
      <c r="J216" s="57"/>
      <c r="K216" s="53"/>
      <c r="L216" s="53"/>
      <c r="M216" s="53"/>
      <c r="N216" s="57"/>
      <c r="O216" s="53"/>
      <c r="P216" s="53"/>
      <c r="Q216" s="53"/>
      <c r="R216" s="57"/>
      <c r="S216" s="53"/>
      <c r="T216" s="53"/>
      <c r="U216" s="53"/>
      <c r="V216" s="57"/>
    </row>
    <row r="217" spans="1:22" s="36" customFormat="1" ht="15.75" customHeight="1" hidden="1">
      <c r="A217" s="98"/>
      <c r="B217" s="39"/>
      <c r="C217" s="39"/>
      <c r="D217" s="49"/>
      <c r="E217" s="47"/>
      <c r="F217" s="57"/>
      <c r="G217" s="53"/>
      <c r="H217" s="53"/>
      <c r="I217" s="53"/>
      <c r="J217" s="57"/>
      <c r="K217" s="53"/>
      <c r="L217" s="53"/>
      <c r="M217" s="53"/>
      <c r="N217" s="57"/>
      <c r="O217" s="53"/>
      <c r="P217" s="53"/>
      <c r="Q217" s="53"/>
      <c r="R217" s="57"/>
      <c r="S217" s="53"/>
      <c r="T217" s="53"/>
      <c r="U217" s="53"/>
      <c r="V217" s="57"/>
    </row>
    <row r="218" spans="1:22" s="36" customFormat="1" ht="15.75" customHeight="1" hidden="1">
      <c r="A218" s="98"/>
      <c r="B218" s="39"/>
      <c r="C218" s="39"/>
      <c r="D218" s="49"/>
      <c r="E218" s="47"/>
      <c r="F218" s="57"/>
      <c r="G218" s="53"/>
      <c r="H218" s="53"/>
      <c r="I218" s="53"/>
      <c r="J218" s="57"/>
      <c r="K218" s="53"/>
      <c r="L218" s="53"/>
      <c r="M218" s="53"/>
      <c r="N218" s="57"/>
      <c r="O218" s="53"/>
      <c r="P218" s="53"/>
      <c r="Q218" s="53"/>
      <c r="R218" s="57"/>
      <c r="S218" s="53"/>
      <c r="T218" s="53"/>
      <c r="U218" s="53"/>
      <c r="V218" s="57"/>
    </row>
    <row r="219" spans="1:22" s="36" customFormat="1" ht="15.75" customHeight="1" hidden="1">
      <c r="A219" s="98"/>
      <c r="B219" s="39"/>
      <c r="C219" s="39"/>
      <c r="D219" s="49"/>
      <c r="E219" s="47"/>
      <c r="F219" s="57"/>
      <c r="G219" s="53"/>
      <c r="H219" s="53"/>
      <c r="I219" s="53"/>
      <c r="J219" s="57"/>
      <c r="K219" s="53"/>
      <c r="L219" s="53"/>
      <c r="M219" s="53"/>
      <c r="N219" s="57"/>
      <c r="O219" s="53"/>
      <c r="P219" s="53"/>
      <c r="Q219" s="53"/>
      <c r="R219" s="57"/>
      <c r="S219" s="53"/>
      <c r="T219" s="53"/>
      <c r="U219" s="53"/>
      <c r="V219" s="57"/>
    </row>
    <row r="220" spans="1:22" s="36" customFormat="1" ht="15.75" customHeight="1" hidden="1">
      <c r="A220" s="98"/>
      <c r="B220" s="39"/>
      <c r="C220" s="39"/>
      <c r="D220" s="49"/>
      <c r="E220" s="47"/>
      <c r="F220" s="57"/>
      <c r="G220" s="53"/>
      <c r="H220" s="53"/>
      <c r="I220" s="53"/>
      <c r="J220" s="57"/>
      <c r="K220" s="53"/>
      <c r="L220" s="53"/>
      <c r="M220" s="53"/>
      <c r="N220" s="57"/>
      <c r="O220" s="53"/>
      <c r="P220" s="53"/>
      <c r="Q220" s="53"/>
      <c r="R220" s="57"/>
      <c r="S220" s="53"/>
      <c r="T220" s="53"/>
      <c r="U220" s="53"/>
      <c r="V220" s="57"/>
    </row>
    <row r="221" spans="1:22" s="36" customFormat="1" ht="63.75" customHeight="1" hidden="1">
      <c r="A221" s="98"/>
      <c r="B221" s="96" t="s">
        <v>277</v>
      </c>
      <c r="C221" s="39">
        <v>240</v>
      </c>
      <c r="D221" s="49"/>
      <c r="E221" s="47"/>
      <c r="F221" s="50">
        <f t="shared" si="83"/>
        <v>0</v>
      </c>
      <c r="G221" s="54">
        <f>G222+G224</f>
        <v>0</v>
      </c>
      <c r="H221" s="54">
        <f>H222+H224</f>
        <v>0</v>
      </c>
      <c r="I221" s="54">
        <f>I222+I224</f>
        <v>0</v>
      </c>
      <c r="J221" s="50">
        <f>G221+H221+I221</f>
        <v>0</v>
      </c>
      <c r="K221" s="54">
        <f>K222+K224</f>
        <v>0</v>
      </c>
      <c r="L221" s="54">
        <f>L222+L224</f>
        <v>0</v>
      </c>
      <c r="M221" s="54">
        <f>M222+M224</f>
        <v>0</v>
      </c>
      <c r="N221" s="50">
        <f>K221+L221+M221</f>
        <v>0</v>
      </c>
      <c r="O221" s="54">
        <f>O222+O224</f>
        <v>0</v>
      </c>
      <c r="P221" s="54">
        <f>P222+P224</f>
        <v>0</v>
      </c>
      <c r="Q221" s="54">
        <f>Q222+Q224</f>
        <v>0</v>
      </c>
      <c r="R221" s="50">
        <f>O221+P221+Q221</f>
        <v>0</v>
      </c>
      <c r="S221" s="54">
        <f>S222+S224</f>
        <v>0</v>
      </c>
      <c r="T221" s="54">
        <f>T222+T224</f>
        <v>0</v>
      </c>
      <c r="U221" s="54">
        <f>U222+U224</f>
        <v>0</v>
      </c>
      <c r="V221" s="50">
        <f>SUM(S221:U221)</f>
        <v>0</v>
      </c>
    </row>
    <row r="222" spans="1:22" s="36" customFormat="1" ht="80.25" customHeight="1" hidden="1">
      <c r="A222" s="98"/>
      <c r="B222" s="42" t="s">
        <v>276</v>
      </c>
      <c r="C222" s="94" t="s">
        <v>258</v>
      </c>
      <c r="D222" s="94"/>
      <c r="E222" s="47"/>
      <c r="F222" s="57">
        <f t="shared" si="83"/>
        <v>0</v>
      </c>
      <c r="G222" s="53">
        <f aca="true" t="shared" si="88" ref="G222:I224">G223</f>
        <v>0</v>
      </c>
      <c r="H222" s="53">
        <f t="shared" si="88"/>
        <v>0</v>
      </c>
      <c r="I222" s="53">
        <f t="shared" si="88"/>
        <v>0</v>
      </c>
      <c r="J222" s="57">
        <f>SUM(G222:I222)</f>
        <v>0</v>
      </c>
      <c r="K222" s="53">
        <f aca="true" t="shared" si="89" ref="K222:M224">K223</f>
        <v>0</v>
      </c>
      <c r="L222" s="53">
        <f t="shared" si="89"/>
        <v>0</v>
      </c>
      <c r="M222" s="53">
        <f t="shared" si="89"/>
        <v>0</v>
      </c>
      <c r="N222" s="57">
        <f>SUM(K222:M222)</f>
        <v>0</v>
      </c>
      <c r="O222" s="53">
        <f aca="true" t="shared" si="90" ref="O222:Q224">O223</f>
        <v>0</v>
      </c>
      <c r="P222" s="53">
        <f t="shared" si="90"/>
        <v>0</v>
      </c>
      <c r="Q222" s="53">
        <f t="shared" si="90"/>
        <v>0</v>
      </c>
      <c r="R222" s="57">
        <f>SUM(O222:Q222)</f>
        <v>0</v>
      </c>
      <c r="S222" s="53">
        <f aca="true" t="shared" si="91" ref="S222:U224">S223</f>
        <v>0</v>
      </c>
      <c r="T222" s="53">
        <f t="shared" si="91"/>
        <v>0</v>
      </c>
      <c r="U222" s="53">
        <f t="shared" si="91"/>
        <v>0</v>
      </c>
      <c r="V222" s="57">
        <f>S222+T222+U222</f>
        <v>0</v>
      </c>
    </row>
    <row r="223" spans="1:22" s="36" customFormat="1" ht="15.75" customHeight="1" hidden="1">
      <c r="A223" s="98"/>
      <c r="B223" s="43" t="s">
        <v>256</v>
      </c>
      <c r="C223" s="95" t="s">
        <v>258</v>
      </c>
      <c r="D223" s="95" t="s">
        <v>103</v>
      </c>
      <c r="E223" s="47"/>
      <c r="F223" s="57">
        <f t="shared" si="83"/>
        <v>0</v>
      </c>
      <c r="G223" s="53">
        <v>0</v>
      </c>
      <c r="H223" s="53">
        <v>0</v>
      </c>
      <c r="I223" s="53">
        <v>0</v>
      </c>
      <c r="J223" s="57">
        <f>SUM(G223:I223)</f>
        <v>0</v>
      </c>
      <c r="K223" s="53"/>
      <c r="L223" s="53"/>
      <c r="M223" s="53"/>
      <c r="N223" s="57">
        <f>SUM(K223:M223)</f>
        <v>0</v>
      </c>
      <c r="O223" s="53"/>
      <c r="P223" s="53"/>
      <c r="Q223" s="53"/>
      <c r="R223" s="57">
        <f>SUM(O223:Q223)</f>
        <v>0</v>
      </c>
      <c r="S223" s="53">
        <v>0</v>
      </c>
      <c r="T223" s="53">
        <v>0</v>
      </c>
      <c r="U223" s="53">
        <v>0</v>
      </c>
      <c r="V223" s="57">
        <f>S223+T223+U223</f>
        <v>0</v>
      </c>
    </row>
    <row r="224" spans="1:22" s="36" customFormat="1" ht="66.75" customHeight="1" hidden="1">
      <c r="A224" s="98"/>
      <c r="B224" s="42" t="s">
        <v>296</v>
      </c>
      <c r="C224" s="94" t="s">
        <v>258</v>
      </c>
      <c r="D224" s="94"/>
      <c r="E224" s="47"/>
      <c r="F224" s="57">
        <f>J224+N224+R224+V224</f>
        <v>0</v>
      </c>
      <c r="G224" s="53">
        <f t="shared" si="88"/>
        <v>0</v>
      </c>
      <c r="H224" s="53">
        <f t="shared" si="88"/>
        <v>0</v>
      </c>
      <c r="I224" s="53">
        <f t="shared" si="88"/>
        <v>0</v>
      </c>
      <c r="J224" s="57">
        <f>SUM(G224:I224)</f>
        <v>0</v>
      </c>
      <c r="K224" s="53">
        <f t="shared" si="89"/>
        <v>0</v>
      </c>
      <c r="L224" s="53">
        <f t="shared" si="89"/>
        <v>0</v>
      </c>
      <c r="M224" s="53">
        <f t="shared" si="89"/>
        <v>0</v>
      </c>
      <c r="N224" s="57">
        <f>SUM(K224:M224)</f>
        <v>0</v>
      </c>
      <c r="O224" s="53">
        <f t="shared" si="90"/>
        <v>0</v>
      </c>
      <c r="P224" s="53">
        <f t="shared" si="90"/>
        <v>0</v>
      </c>
      <c r="Q224" s="53">
        <f t="shared" si="90"/>
        <v>0</v>
      </c>
      <c r="R224" s="57">
        <f>SUM(O224:Q224)</f>
        <v>0</v>
      </c>
      <c r="S224" s="53">
        <f t="shared" si="91"/>
        <v>0</v>
      </c>
      <c r="T224" s="53">
        <f t="shared" si="91"/>
        <v>0</v>
      </c>
      <c r="U224" s="53">
        <f t="shared" si="91"/>
        <v>0</v>
      </c>
      <c r="V224" s="57">
        <f>S224+T224+U224</f>
        <v>0</v>
      </c>
    </row>
    <row r="225" spans="1:22" s="36" customFormat="1" ht="15.75" customHeight="1" hidden="1">
      <c r="A225" s="98"/>
      <c r="B225" s="43" t="s">
        <v>256</v>
      </c>
      <c r="C225" s="95" t="s">
        <v>258</v>
      </c>
      <c r="D225" s="95" t="s">
        <v>103</v>
      </c>
      <c r="E225" s="47"/>
      <c r="F225" s="57">
        <f>J225+N225+R225+V225</f>
        <v>0</v>
      </c>
      <c r="G225" s="53">
        <v>0</v>
      </c>
      <c r="H225" s="53">
        <v>0</v>
      </c>
      <c r="I225" s="53">
        <v>0</v>
      </c>
      <c r="J225" s="57">
        <f>SUM(G225:I225)</f>
        <v>0</v>
      </c>
      <c r="K225" s="53">
        <v>0</v>
      </c>
      <c r="L225" s="53"/>
      <c r="M225" s="53"/>
      <c r="N225" s="57">
        <f>SUM(K225:M225)</f>
        <v>0</v>
      </c>
      <c r="O225" s="53"/>
      <c r="P225" s="53">
        <v>0</v>
      </c>
      <c r="Q225" s="53">
        <f>600-600</f>
        <v>0</v>
      </c>
      <c r="R225" s="57">
        <f>SUM(O225:Q225)</f>
        <v>0</v>
      </c>
      <c r="S225" s="53"/>
      <c r="T225" s="53"/>
      <c r="U225" s="53"/>
      <c r="V225" s="57">
        <f>S225+T225+U225</f>
        <v>0</v>
      </c>
    </row>
    <row r="226" spans="1:22" s="36" customFormat="1" ht="19.5" customHeight="1">
      <c r="A226" s="98"/>
      <c r="B226" s="40" t="s">
        <v>183</v>
      </c>
      <c r="C226" s="40"/>
      <c r="D226" s="101"/>
      <c r="E226" s="88"/>
      <c r="F226" s="50">
        <f>J226+N226+R226+V226</f>
        <v>5377.1900000000005</v>
      </c>
      <c r="G226" s="66">
        <f>G227+G239+G246+G251+G236+G228+G261+G229</f>
        <v>0</v>
      </c>
      <c r="H226" s="54">
        <f>H227+H239+H246+H251+H236+H228+H261+H229</f>
        <v>310.2</v>
      </c>
      <c r="I226" s="54">
        <f>I227+I239+I246+I251+I236+I228+I261+I229</f>
        <v>573.8</v>
      </c>
      <c r="J226" s="50">
        <f aca="true" t="shared" si="92" ref="J226:J240">SUM(G226:I226)</f>
        <v>884</v>
      </c>
      <c r="K226" s="66">
        <f>K227+K239+K246+K251+K236+K228+K261+K229</f>
        <v>0</v>
      </c>
      <c r="L226" s="54">
        <f>L227+L239+L246+L251+L236+L228+L261+L229</f>
        <v>292</v>
      </c>
      <c r="M226" s="54">
        <f>M227+M239+M246+M251+M236+M228+M261+M229</f>
        <v>358</v>
      </c>
      <c r="N226" s="50">
        <f aca="true" t="shared" si="93" ref="N226:N240">SUM(K226:M226)</f>
        <v>650</v>
      </c>
      <c r="O226" s="54">
        <f>O227+O239+O246+O251+O236+O228+O261+O229</f>
        <v>665.5</v>
      </c>
      <c r="P226" s="54">
        <f>P227+P239+P246+P251+P236+P228+P261+P229</f>
        <v>627</v>
      </c>
      <c r="Q226" s="54">
        <f>Q227+Q239+Q246+Q251+Q236+Q228+Q261+Q229</f>
        <v>496.5</v>
      </c>
      <c r="R226" s="50">
        <f>SUM(O226:Q226)</f>
        <v>1789</v>
      </c>
      <c r="S226" s="54">
        <f>S227+S239+S246+S251+S236+S228+S261+S229</f>
        <v>650.19</v>
      </c>
      <c r="T226" s="54">
        <f>T227+T239+T246+T251+T236+T228+T261+T229</f>
        <v>702</v>
      </c>
      <c r="U226" s="54">
        <f>U227+U239+U246+U251+U236+U228+U261+U229</f>
        <v>702</v>
      </c>
      <c r="V226" s="50">
        <f>SUM(S226:U226)</f>
        <v>2054.19</v>
      </c>
    </row>
    <row r="227" spans="1:22" s="36" customFormat="1" ht="18" customHeight="1">
      <c r="A227" s="98"/>
      <c r="B227" s="40" t="s">
        <v>136</v>
      </c>
      <c r="C227" s="40">
        <v>244</v>
      </c>
      <c r="D227" s="49" t="s">
        <v>101</v>
      </c>
      <c r="E227" s="47"/>
      <c r="F227" s="51">
        <f aca="true" t="shared" si="94" ref="F227:F240">J227+N227+R227+V227</f>
        <v>2848.19</v>
      </c>
      <c r="G227" s="61">
        <f>215-215</f>
        <v>0</v>
      </c>
      <c r="H227" s="52">
        <v>169.5</v>
      </c>
      <c r="I227" s="52">
        <f>169.5+215</f>
        <v>384.5</v>
      </c>
      <c r="J227" s="51">
        <f t="shared" si="92"/>
        <v>554</v>
      </c>
      <c r="K227" s="61">
        <f>140-140</f>
        <v>0</v>
      </c>
      <c r="L227" s="52">
        <v>140</v>
      </c>
      <c r="M227" s="52">
        <f>140+140</f>
        <v>280</v>
      </c>
      <c r="N227" s="51">
        <f t="shared" si="93"/>
        <v>420</v>
      </c>
      <c r="O227" s="52">
        <v>150</v>
      </c>
      <c r="P227" s="52">
        <v>150</v>
      </c>
      <c r="Q227" s="52">
        <v>150</v>
      </c>
      <c r="R227" s="51">
        <f>O227+P227+Q227</f>
        <v>450</v>
      </c>
      <c r="S227" s="52">
        <v>474.19</v>
      </c>
      <c r="T227" s="52">
        <v>475</v>
      </c>
      <c r="U227" s="52">
        <v>475</v>
      </c>
      <c r="V227" s="51">
        <f>S227+T227+U227</f>
        <v>1424.19</v>
      </c>
    </row>
    <row r="228" spans="1:22" s="36" customFormat="1" ht="18" customHeight="1" hidden="1">
      <c r="A228" s="98"/>
      <c r="B228" s="40" t="s">
        <v>250</v>
      </c>
      <c r="C228" s="40">
        <v>853</v>
      </c>
      <c r="D228" s="49" t="s">
        <v>107</v>
      </c>
      <c r="E228" s="47"/>
      <c r="F228" s="51">
        <f t="shared" si="94"/>
        <v>0</v>
      </c>
      <c r="G228" s="61"/>
      <c r="H228" s="52"/>
      <c r="I228" s="52"/>
      <c r="J228" s="51">
        <f t="shared" si="92"/>
        <v>0</v>
      </c>
      <c r="K228" s="61"/>
      <c r="L228" s="52"/>
      <c r="M228" s="52"/>
      <c r="N228" s="51">
        <f t="shared" si="93"/>
        <v>0</v>
      </c>
      <c r="O228" s="52"/>
      <c r="P228" s="52"/>
      <c r="Q228" s="52"/>
      <c r="R228" s="51">
        <f>O228+P228+Q228</f>
        <v>0</v>
      </c>
      <c r="S228" s="52"/>
      <c r="T228" s="52"/>
      <c r="U228" s="52"/>
      <c r="V228" s="51">
        <f>SUM(S228:U228)</f>
        <v>0</v>
      </c>
    </row>
    <row r="229" spans="1:22" s="36" customFormat="1" ht="39" customHeight="1">
      <c r="A229" s="98"/>
      <c r="B229" s="40" t="s">
        <v>314</v>
      </c>
      <c r="C229" s="39">
        <v>240</v>
      </c>
      <c r="D229" s="49"/>
      <c r="E229" s="47"/>
      <c r="F229" s="50">
        <f t="shared" si="94"/>
        <v>1000</v>
      </c>
      <c r="G229" s="66">
        <f>G230+G232+G234</f>
        <v>0</v>
      </c>
      <c r="H229" s="54">
        <f>H230+H232+H234</f>
        <v>50</v>
      </c>
      <c r="I229" s="54">
        <f>I230+I232+I234</f>
        <v>50</v>
      </c>
      <c r="J229" s="50">
        <f>G229+H229+I229</f>
        <v>100</v>
      </c>
      <c r="K229" s="66">
        <f>K230+K232+K234</f>
        <v>0</v>
      </c>
      <c r="L229" s="54">
        <f>L230+L232+L234</f>
        <v>30</v>
      </c>
      <c r="M229" s="54">
        <f>M230+M232+M234</f>
        <v>70</v>
      </c>
      <c r="N229" s="50">
        <f>K229+L229+M229</f>
        <v>100</v>
      </c>
      <c r="O229" s="54">
        <f>O230+O232+O234</f>
        <v>100</v>
      </c>
      <c r="P229" s="54">
        <f>P230+P232+P234</f>
        <v>150</v>
      </c>
      <c r="Q229" s="54">
        <f>Q230+Q232+Q234</f>
        <v>150</v>
      </c>
      <c r="R229" s="50">
        <f>O229+P229+Q229</f>
        <v>400</v>
      </c>
      <c r="S229" s="54">
        <f>S230+S232+S234</f>
        <v>100</v>
      </c>
      <c r="T229" s="54">
        <f>T230+T232+T234</f>
        <v>150</v>
      </c>
      <c r="U229" s="54">
        <f>U230+U232+U234</f>
        <v>150</v>
      </c>
      <c r="V229" s="50">
        <f>SUM(S229:U229)</f>
        <v>400</v>
      </c>
    </row>
    <row r="230" spans="1:22" s="36" customFormat="1" ht="42.75" customHeight="1">
      <c r="A230" s="98"/>
      <c r="B230" s="42" t="s">
        <v>255</v>
      </c>
      <c r="C230" s="94" t="s">
        <v>258</v>
      </c>
      <c r="D230" s="94"/>
      <c r="E230" s="47"/>
      <c r="F230" s="53">
        <f t="shared" si="94"/>
        <v>1000</v>
      </c>
      <c r="G230" s="65">
        <f>G231</f>
        <v>0</v>
      </c>
      <c r="H230" s="53">
        <f>H231</f>
        <v>50</v>
      </c>
      <c r="I230" s="53">
        <f>I231</f>
        <v>50</v>
      </c>
      <c r="J230" s="53">
        <f aca="true" t="shared" si="95" ref="J230:J235">SUM(G230:I230)</f>
        <v>100</v>
      </c>
      <c r="K230" s="65">
        <f>K231</f>
        <v>0</v>
      </c>
      <c r="L230" s="53">
        <f>L231</f>
        <v>30</v>
      </c>
      <c r="M230" s="53">
        <f>M231</f>
        <v>70</v>
      </c>
      <c r="N230" s="53">
        <f aca="true" t="shared" si="96" ref="N230:N235">SUM(K230:M230)</f>
        <v>100</v>
      </c>
      <c r="O230" s="53">
        <f>O231</f>
        <v>100</v>
      </c>
      <c r="P230" s="53">
        <f>P231</f>
        <v>150</v>
      </c>
      <c r="Q230" s="53">
        <f>Q231</f>
        <v>150</v>
      </c>
      <c r="R230" s="53">
        <f aca="true" t="shared" si="97" ref="R230:R235">SUM(O230:Q230)</f>
        <v>400</v>
      </c>
      <c r="S230" s="53">
        <f>S231</f>
        <v>100</v>
      </c>
      <c r="T230" s="53">
        <f>T231</f>
        <v>150</v>
      </c>
      <c r="U230" s="53">
        <f>U231</f>
        <v>150</v>
      </c>
      <c r="V230" s="51">
        <f>V231</f>
        <v>400</v>
      </c>
    </row>
    <row r="231" spans="1:22" s="36" customFormat="1" ht="27" customHeight="1">
      <c r="A231" s="98"/>
      <c r="B231" s="43" t="s">
        <v>256</v>
      </c>
      <c r="C231" s="95" t="s">
        <v>258</v>
      </c>
      <c r="D231" s="95" t="s">
        <v>103</v>
      </c>
      <c r="E231" s="47"/>
      <c r="F231" s="51">
        <f t="shared" si="94"/>
        <v>1000</v>
      </c>
      <c r="G231" s="61"/>
      <c r="H231" s="52">
        <v>50</v>
      </c>
      <c r="I231" s="52">
        <v>50</v>
      </c>
      <c r="J231" s="51">
        <f t="shared" si="95"/>
        <v>100</v>
      </c>
      <c r="K231" s="61">
        <f>30-30</f>
        <v>0</v>
      </c>
      <c r="L231" s="52">
        <v>30</v>
      </c>
      <c r="M231" s="52">
        <f>40+30</f>
        <v>70</v>
      </c>
      <c r="N231" s="51">
        <f t="shared" si="96"/>
        <v>100</v>
      </c>
      <c r="O231" s="52">
        <v>100</v>
      </c>
      <c r="P231" s="52">
        <v>150</v>
      </c>
      <c r="Q231" s="52">
        <v>150</v>
      </c>
      <c r="R231" s="51">
        <f t="shared" si="97"/>
        <v>400</v>
      </c>
      <c r="S231" s="52">
        <v>100</v>
      </c>
      <c r="T231" s="52">
        <v>150</v>
      </c>
      <c r="U231" s="52">
        <v>150</v>
      </c>
      <c r="V231" s="51">
        <f>SUM(S231:U231)</f>
        <v>400</v>
      </c>
    </row>
    <row r="232" spans="1:22" s="36" customFormat="1" ht="48" customHeight="1" hidden="1">
      <c r="A232" s="98"/>
      <c r="B232" s="42" t="s">
        <v>257</v>
      </c>
      <c r="C232" s="94" t="s">
        <v>258</v>
      </c>
      <c r="D232" s="94"/>
      <c r="E232" s="47"/>
      <c r="F232" s="53">
        <f t="shared" si="94"/>
        <v>0</v>
      </c>
      <c r="G232" s="65">
        <f>G233</f>
        <v>0</v>
      </c>
      <c r="H232" s="53">
        <f>H233</f>
        <v>0</v>
      </c>
      <c r="I232" s="53">
        <f>I233</f>
        <v>0</v>
      </c>
      <c r="J232" s="53">
        <f t="shared" si="95"/>
        <v>0</v>
      </c>
      <c r="K232" s="65">
        <f>K233</f>
        <v>0</v>
      </c>
      <c r="L232" s="53">
        <f>L233</f>
        <v>0</v>
      </c>
      <c r="M232" s="53">
        <f>M233</f>
        <v>0</v>
      </c>
      <c r="N232" s="53">
        <f t="shared" si="96"/>
        <v>0</v>
      </c>
      <c r="O232" s="53">
        <f>O233</f>
        <v>0</v>
      </c>
      <c r="P232" s="53">
        <f>P233</f>
        <v>0</v>
      </c>
      <c r="Q232" s="53">
        <f>Q233</f>
        <v>0</v>
      </c>
      <c r="R232" s="53">
        <f t="shared" si="97"/>
        <v>0</v>
      </c>
      <c r="S232" s="53">
        <f>S233</f>
        <v>0</v>
      </c>
      <c r="T232" s="53">
        <f>T233</f>
        <v>0</v>
      </c>
      <c r="U232" s="53">
        <f>U233</f>
        <v>0</v>
      </c>
      <c r="V232" s="51">
        <f>V233</f>
        <v>0</v>
      </c>
    </row>
    <row r="233" spans="1:22" s="36" customFormat="1" ht="18" customHeight="1" hidden="1">
      <c r="A233" s="98"/>
      <c r="B233" s="43" t="s">
        <v>256</v>
      </c>
      <c r="C233" s="95" t="s">
        <v>258</v>
      </c>
      <c r="D233" s="95" t="s">
        <v>103</v>
      </c>
      <c r="E233" s="47"/>
      <c r="F233" s="51">
        <f t="shared" si="94"/>
        <v>0</v>
      </c>
      <c r="G233" s="61"/>
      <c r="H233" s="52"/>
      <c r="I233" s="52"/>
      <c r="J233" s="51">
        <f t="shared" si="95"/>
        <v>0</v>
      </c>
      <c r="K233" s="61"/>
      <c r="L233" s="52"/>
      <c r="M233" s="52"/>
      <c r="N233" s="51">
        <f t="shared" si="96"/>
        <v>0</v>
      </c>
      <c r="O233" s="52"/>
      <c r="P233" s="52"/>
      <c r="Q233" s="52"/>
      <c r="R233" s="51">
        <f t="shared" si="97"/>
        <v>0</v>
      </c>
      <c r="S233" s="52"/>
      <c r="T233" s="52"/>
      <c r="U233" s="52"/>
      <c r="V233" s="51">
        <f>SUM(S233:U233)</f>
        <v>0</v>
      </c>
    </row>
    <row r="234" spans="1:22" s="36" customFormat="1" ht="87" customHeight="1" hidden="1">
      <c r="A234" s="98"/>
      <c r="B234" s="92" t="s">
        <v>288</v>
      </c>
      <c r="C234" s="95"/>
      <c r="D234" s="95"/>
      <c r="E234" s="47"/>
      <c r="F234" s="53">
        <f t="shared" si="94"/>
        <v>0</v>
      </c>
      <c r="G234" s="65">
        <f>G235</f>
        <v>0</v>
      </c>
      <c r="H234" s="53">
        <f>H235</f>
        <v>0</v>
      </c>
      <c r="I234" s="53">
        <f>I235</f>
        <v>0</v>
      </c>
      <c r="J234" s="53">
        <f t="shared" si="95"/>
        <v>0</v>
      </c>
      <c r="K234" s="65">
        <f>K235</f>
        <v>0</v>
      </c>
      <c r="L234" s="53">
        <f>L235</f>
        <v>0</v>
      </c>
      <c r="M234" s="53">
        <f>M235</f>
        <v>0</v>
      </c>
      <c r="N234" s="53">
        <f t="shared" si="96"/>
        <v>0</v>
      </c>
      <c r="O234" s="53">
        <f>O235</f>
        <v>0</v>
      </c>
      <c r="P234" s="53">
        <f>P235</f>
        <v>0</v>
      </c>
      <c r="Q234" s="53">
        <f>Q235</f>
        <v>0</v>
      </c>
      <c r="R234" s="53">
        <f t="shared" si="97"/>
        <v>0</v>
      </c>
      <c r="S234" s="53">
        <f>S235</f>
        <v>0</v>
      </c>
      <c r="T234" s="53">
        <f>T235</f>
        <v>0</v>
      </c>
      <c r="U234" s="53">
        <f>U235</f>
        <v>0</v>
      </c>
      <c r="V234" s="51">
        <f>V235</f>
        <v>0</v>
      </c>
    </row>
    <row r="235" spans="1:22" s="36" customFormat="1" ht="18" customHeight="1" hidden="1">
      <c r="A235" s="98"/>
      <c r="B235" s="43" t="s">
        <v>256</v>
      </c>
      <c r="C235" s="95"/>
      <c r="D235" s="95"/>
      <c r="E235" s="47"/>
      <c r="F235" s="51">
        <f t="shared" si="94"/>
        <v>0</v>
      </c>
      <c r="G235" s="61"/>
      <c r="H235" s="52"/>
      <c r="I235" s="52"/>
      <c r="J235" s="51">
        <f t="shared" si="95"/>
        <v>0</v>
      </c>
      <c r="K235" s="61"/>
      <c r="L235" s="52">
        <v>0</v>
      </c>
      <c r="M235" s="52"/>
      <c r="N235" s="51">
        <f t="shared" si="96"/>
        <v>0</v>
      </c>
      <c r="O235" s="52"/>
      <c r="P235" s="52"/>
      <c r="Q235" s="52"/>
      <c r="R235" s="51">
        <f t="shared" si="97"/>
        <v>0</v>
      </c>
      <c r="S235" s="52">
        <v>0</v>
      </c>
      <c r="T235" s="52">
        <v>0</v>
      </c>
      <c r="U235" s="52">
        <v>0</v>
      </c>
      <c r="V235" s="51">
        <f>SUM(S235:U235)</f>
        <v>0</v>
      </c>
    </row>
    <row r="236" spans="1:22" s="36" customFormat="1" ht="33.75" customHeight="1" hidden="1">
      <c r="A236" s="98"/>
      <c r="B236" s="40" t="s">
        <v>213</v>
      </c>
      <c r="C236" s="40">
        <v>200</v>
      </c>
      <c r="D236" s="49"/>
      <c r="E236" s="47"/>
      <c r="F236" s="51">
        <f t="shared" si="94"/>
        <v>0</v>
      </c>
      <c r="G236" s="61">
        <f aca="true" t="shared" si="98" ref="G236:I237">G237</f>
        <v>0</v>
      </c>
      <c r="H236" s="52">
        <f t="shared" si="98"/>
        <v>0</v>
      </c>
      <c r="I236" s="52">
        <f t="shared" si="98"/>
        <v>0</v>
      </c>
      <c r="J236" s="51">
        <f t="shared" si="92"/>
        <v>0</v>
      </c>
      <c r="K236" s="61">
        <f aca="true" t="shared" si="99" ref="K236:M237">K237</f>
        <v>0</v>
      </c>
      <c r="L236" s="52">
        <f t="shared" si="99"/>
        <v>0</v>
      </c>
      <c r="M236" s="52">
        <f t="shared" si="99"/>
        <v>0</v>
      </c>
      <c r="N236" s="51">
        <f t="shared" si="93"/>
        <v>0</v>
      </c>
      <c r="O236" s="52">
        <f aca="true" t="shared" si="100" ref="O236:Q237">O237</f>
        <v>0</v>
      </c>
      <c r="P236" s="52">
        <f t="shared" si="100"/>
        <v>0</v>
      </c>
      <c r="Q236" s="52">
        <f t="shared" si="100"/>
        <v>0</v>
      </c>
      <c r="R236" s="51">
        <f aca="true" t="shared" si="101" ref="R236:R251">SUM(O236:Q236)</f>
        <v>0</v>
      </c>
      <c r="S236" s="52">
        <f aca="true" t="shared" si="102" ref="S236:U237">S237</f>
        <v>0</v>
      </c>
      <c r="T236" s="52">
        <f t="shared" si="102"/>
        <v>0</v>
      </c>
      <c r="U236" s="52">
        <f t="shared" si="102"/>
        <v>0</v>
      </c>
      <c r="V236" s="51">
        <f>S236+T236+U236</f>
        <v>0</v>
      </c>
    </row>
    <row r="237" spans="1:22" s="36" customFormat="1" ht="33.75" customHeight="1" hidden="1">
      <c r="A237" s="98"/>
      <c r="B237" s="41" t="s">
        <v>214</v>
      </c>
      <c r="C237" s="41">
        <v>240</v>
      </c>
      <c r="D237" s="49"/>
      <c r="E237" s="47"/>
      <c r="F237" s="51">
        <f t="shared" si="94"/>
        <v>0</v>
      </c>
      <c r="G237" s="61">
        <f t="shared" si="98"/>
        <v>0</v>
      </c>
      <c r="H237" s="52">
        <f t="shared" si="98"/>
        <v>0</v>
      </c>
      <c r="I237" s="52">
        <f t="shared" si="98"/>
        <v>0</v>
      </c>
      <c r="J237" s="51">
        <f t="shared" si="92"/>
        <v>0</v>
      </c>
      <c r="K237" s="61">
        <f t="shared" si="99"/>
        <v>0</v>
      </c>
      <c r="L237" s="52">
        <f t="shared" si="99"/>
        <v>0</v>
      </c>
      <c r="M237" s="52">
        <f t="shared" si="99"/>
        <v>0</v>
      </c>
      <c r="N237" s="51">
        <f t="shared" si="93"/>
        <v>0</v>
      </c>
      <c r="O237" s="52">
        <f t="shared" si="100"/>
        <v>0</v>
      </c>
      <c r="P237" s="52">
        <f t="shared" si="100"/>
        <v>0</v>
      </c>
      <c r="Q237" s="52">
        <f t="shared" si="100"/>
        <v>0</v>
      </c>
      <c r="R237" s="51">
        <f t="shared" si="101"/>
        <v>0</v>
      </c>
      <c r="S237" s="52">
        <f t="shared" si="102"/>
        <v>0</v>
      </c>
      <c r="T237" s="52">
        <f t="shared" si="102"/>
        <v>0</v>
      </c>
      <c r="U237" s="52">
        <f t="shared" si="102"/>
        <v>0</v>
      </c>
      <c r="V237" s="51">
        <f aca="true" t="shared" si="103" ref="V237:V245">SUM(S237:U237)</f>
        <v>0</v>
      </c>
    </row>
    <row r="238" spans="1:22" s="36" customFormat="1" ht="15" customHeight="1" hidden="1">
      <c r="A238" s="98"/>
      <c r="B238" s="39" t="s">
        <v>212</v>
      </c>
      <c r="C238" s="39">
        <v>244</v>
      </c>
      <c r="D238" s="49" t="s">
        <v>103</v>
      </c>
      <c r="E238" s="47"/>
      <c r="F238" s="52">
        <f t="shared" si="94"/>
        <v>0</v>
      </c>
      <c r="G238" s="61"/>
      <c r="H238" s="52"/>
      <c r="I238" s="52"/>
      <c r="J238" s="52">
        <f t="shared" si="92"/>
        <v>0</v>
      </c>
      <c r="K238" s="61"/>
      <c r="L238" s="52"/>
      <c r="M238" s="52"/>
      <c r="N238" s="52">
        <f t="shared" si="93"/>
        <v>0</v>
      </c>
      <c r="O238" s="52"/>
      <c r="P238" s="52"/>
      <c r="Q238" s="52"/>
      <c r="R238" s="52">
        <f t="shared" si="101"/>
        <v>0</v>
      </c>
      <c r="S238" s="52"/>
      <c r="T238" s="52"/>
      <c r="U238" s="52"/>
      <c r="V238" s="52">
        <f t="shared" si="103"/>
        <v>0</v>
      </c>
    </row>
    <row r="239" spans="1:22" s="36" customFormat="1" ht="33.75" customHeight="1">
      <c r="A239" s="98"/>
      <c r="B239" s="40" t="s">
        <v>320</v>
      </c>
      <c r="C239" s="40">
        <v>200</v>
      </c>
      <c r="D239" s="49"/>
      <c r="E239" s="47"/>
      <c r="F239" s="51">
        <f t="shared" si="94"/>
        <v>925.5</v>
      </c>
      <c r="G239" s="61">
        <f>G240+G244+G242</f>
        <v>0</v>
      </c>
      <c r="H239" s="52">
        <f>H240+H244+H242</f>
        <v>90.7</v>
      </c>
      <c r="I239" s="52">
        <f>I240+I244+I242</f>
        <v>139.3</v>
      </c>
      <c r="J239" s="51">
        <f t="shared" si="92"/>
        <v>230</v>
      </c>
      <c r="K239" s="61">
        <f>K240+K244+K242</f>
        <v>0</v>
      </c>
      <c r="L239" s="52">
        <f>L240+L244+L242</f>
        <v>122</v>
      </c>
      <c r="M239" s="52">
        <f>M240+M244+M242</f>
        <v>8</v>
      </c>
      <c r="N239" s="51">
        <f t="shared" si="93"/>
        <v>130</v>
      </c>
      <c r="O239" s="52">
        <f>O240+O244+O242</f>
        <v>111</v>
      </c>
      <c r="P239" s="52">
        <f>P240+P244+P242</f>
        <v>112</v>
      </c>
      <c r="Q239" s="52">
        <f>Q240+Q244+Q242</f>
        <v>112.5</v>
      </c>
      <c r="R239" s="51">
        <f t="shared" si="101"/>
        <v>335.5</v>
      </c>
      <c r="S239" s="52">
        <f>S240+S244+S242</f>
        <v>76</v>
      </c>
      <c r="T239" s="52">
        <f>T240+T244+T242</f>
        <v>77</v>
      </c>
      <c r="U239" s="52">
        <f>U240+U244+U242</f>
        <v>77</v>
      </c>
      <c r="V239" s="51">
        <f t="shared" si="103"/>
        <v>230</v>
      </c>
    </row>
    <row r="240" spans="1:22" s="36" customFormat="1" ht="81" customHeight="1">
      <c r="A240" s="98"/>
      <c r="B240" s="41" t="s">
        <v>184</v>
      </c>
      <c r="C240" s="41">
        <v>240</v>
      </c>
      <c r="D240" s="49"/>
      <c r="E240" s="47"/>
      <c r="F240" s="51">
        <f t="shared" si="94"/>
        <v>925.5</v>
      </c>
      <c r="G240" s="61">
        <f>G241</f>
        <v>0</v>
      </c>
      <c r="H240" s="52">
        <f>H241</f>
        <v>90.7</v>
      </c>
      <c r="I240" s="52">
        <f>I241</f>
        <v>139.3</v>
      </c>
      <c r="J240" s="51">
        <f t="shared" si="92"/>
        <v>230</v>
      </c>
      <c r="K240" s="61">
        <f>K241</f>
        <v>0</v>
      </c>
      <c r="L240" s="52">
        <f>L241</f>
        <v>122</v>
      </c>
      <c r="M240" s="52">
        <f>M241</f>
        <v>8</v>
      </c>
      <c r="N240" s="51">
        <f t="shared" si="93"/>
        <v>130</v>
      </c>
      <c r="O240" s="52">
        <f>O241</f>
        <v>111</v>
      </c>
      <c r="P240" s="52">
        <f>P241</f>
        <v>112</v>
      </c>
      <c r="Q240" s="52">
        <f>Q241</f>
        <v>112.5</v>
      </c>
      <c r="R240" s="51">
        <f t="shared" si="101"/>
        <v>335.5</v>
      </c>
      <c r="S240" s="52">
        <f>S241</f>
        <v>76</v>
      </c>
      <c r="T240" s="52">
        <f>T241</f>
        <v>77</v>
      </c>
      <c r="U240" s="52">
        <f>U241</f>
        <v>77</v>
      </c>
      <c r="V240" s="51">
        <f t="shared" si="103"/>
        <v>230</v>
      </c>
    </row>
    <row r="241" spans="1:22" s="36" customFormat="1" ht="12.75">
      <c r="A241" s="98"/>
      <c r="B241" s="39" t="s">
        <v>176</v>
      </c>
      <c r="C241" s="39">
        <v>244</v>
      </c>
      <c r="D241" s="49" t="s">
        <v>103</v>
      </c>
      <c r="E241" s="47"/>
      <c r="F241" s="52">
        <f aca="true" t="shared" si="104" ref="F241:F255">J241+N241+R241+V241</f>
        <v>925.5</v>
      </c>
      <c r="G241" s="61">
        <f>76-13.7-62.3</f>
        <v>0</v>
      </c>
      <c r="H241" s="52">
        <f>77+13.7</f>
        <v>90.7</v>
      </c>
      <c r="I241" s="52">
        <f>77+62.3</f>
        <v>139.3</v>
      </c>
      <c r="J241" s="52">
        <f aca="true" t="shared" si="105" ref="J241:J251">SUM(G241:I241)</f>
        <v>230</v>
      </c>
      <c r="K241" s="61">
        <f>43-43</f>
        <v>0</v>
      </c>
      <c r="L241" s="52">
        <f>43+34+45</f>
        <v>122</v>
      </c>
      <c r="M241" s="52">
        <f>44+43-34-45</f>
        <v>8</v>
      </c>
      <c r="N241" s="52">
        <f aca="true" t="shared" si="106" ref="N241:N251">SUM(K241:M241)</f>
        <v>130</v>
      </c>
      <c r="O241" s="52">
        <v>111</v>
      </c>
      <c r="P241" s="52">
        <v>112</v>
      </c>
      <c r="Q241" s="52">
        <v>112.5</v>
      </c>
      <c r="R241" s="52">
        <f t="shared" si="101"/>
        <v>335.5</v>
      </c>
      <c r="S241" s="52">
        <v>76</v>
      </c>
      <c r="T241" s="52">
        <v>77</v>
      </c>
      <c r="U241" s="52">
        <v>77</v>
      </c>
      <c r="V241" s="52">
        <f t="shared" si="103"/>
        <v>230</v>
      </c>
    </row>
    <row r="242" spans="1:22" s="36" customFormat="1" ht="81" customHeight="1" hidden="1">
      <c r="A242" s="98"/>
      <c r="B242" s="41" t="s">
        <v>184</v>
      </c>
      <c r="C242" s="39">
        <v>800</v>
      </c>
      <c r="D242" s="49"/>
      <c r="E242" s="47"/>
      <c r="F242" s="51">
        <f t="shared" si="104"/>
        <v>0</v>
      </c>
      <c r="G242" s="61">
        <f>G243</f>
        <v>0</v>
      </c>
      <c r="H242" s="52">
        <f>H243</f>
        <v>0</v>
      </c>
      <c r="I242" s="52">
        <f>I243</f>
        <v>0</v>
      </c>
      <c r="J242" s="51">
        <f>SUM(G242:I242)</f>
        <v>0</v>
      </c>
      <c r="K242" s="52">
        <f>K243</f>
        <v>0</v>
      </c>
      <c r="L242" s="52">
        <f>L243</f>
        <v>0</v>
      </c>
      <c r="M242" s="52">
        <f>M243</f>
        <v>0</v>
      </c>
      <c r="N242" s="51">
        <f>SUM(K242:M242)</f>
        <v>0</v>
      </c>
      <c r="O242" s="52">
        <f>O243</f>
        <v>0</v>
      </c>
      <c r="P242" s="52">
        <f>P243</f>
        <v>0</v>
      </c>
      <c r="Q242" s="52">
        <f>Q243</f>
        <v>0</v>
      </c>
      <c r="R242" s="51">
        <f>SUM(O242:Q242)</f>
        <v>0</v>
      </c>
      <c r="S242" s="52">
        <f>S243</f>
        <v>0</v>
      </c>
      <c r="T242" s="52">
        <f>T243</f>
        <v>0</v>
      </c>
      <c r="U242" s="52">
        <f>U243</f>
        <v>0</v>
      </c>
      <c r="V242" s="51">
        <f t="shared" si="103"/>
        <v>0</v>
      </c>
    </row>
    <row r="243" spans="1:22" s="36" customFormat="1" ht="24" customHeight="1" hidden="1">
      <c r="A243" s="98"/>
      <c r="B243" s="39" t="s">
        <v>176</v>
      </c>
      <c r="C243" s="39">
        <v>831</v>
      </c>
      <c r="D243" s="49" t="s">
        <v>107</v>
      </c>
      <c r="E243" s="47"/>
      <c r="F243" s="52">
        <f>J243+N243+R243+V243</f>
        <v>0</v>
      </c>
      <c r="G243" s="61"/>
      <c r="H243" s="52"/>
      <c r="I243" s="52"/>
      <c r="J243" s="52">
        <f>SUM(G243:I243)</f>
        <v>0</v>
      </c>
      <c r="K243" s="52"/>
      <c r="L243" s="52"/>
      <c r="M243" s="52"/>
      <c r="N243" s="52">
        <f>SUM(K243:M243)</f>
        <v>0</v>
      </c>
      <c r="O243" s="52"/>
      <c r="P243" s="52"/>
      <c r="Q243" s="52"/>
      <c r="R243" s="52">
        <f>SUM(O243:Q243)</f>
        <v>0</v>
      </c>
      <c r="S243" s="52">
        <f>94.4-94.4</f>
        <v>0</v>
      </c>
      <c r="T243" s="52"/>
      <c r="U243" s="52"/>
      <c r="V243" s="52">
        <f t="shared" si="103"/>
        <v>0</v>
      </c>
    </row>
    <row r="244" spans="1:22" s="36" customFormat="1" ht="30.75" hidden="1">
      <c r="A244" s="98"/>
      <c r="B244" s="41" t="s">
        <v>185</v>
      </c>
      <c r="C244" s="39">
        <v>240</v>
      </c>
      <c r="D244" s="49"/>
      <c r="E244" s="47"/>
      <c r="F244" s="51">
        <f t="shared" si="104"/>
        <v>0</v>
      </c>
      <c r="G244" s="61">
        <f>G245</f>
        <v>0</v>
      </c>
      <c r="H244" s="52">
        <f>H245</f>
        <v>0</v>
      </c>
      <c r="I244" s="52">
        <f>I245</f>
        <v>0</v>
      </c>
      <c r="J244" s="51">
        <f t="shared" si="105"/>
        <v>0</v>
      </c>
      <c r="K244" s="52">
        <f>K245</f>
        <v>0</v>
      </c>
      <c r="L244" s="52">
        <f>L245</f>
        <v>0</v>
      </c>
      <c r="M244" s="52">
        <f>M245</f>
        <v>0</v>
      </c>
      <c r="N244" s="51">
        <f t="shared" si="106"/>
        <v>0</v>
      </c>
      <c r="O244" s="52">
        <f>O245</f>
        <v>0</v>
      </c>
      <c r="P244" s="52">
        <f>P245</f>
        <v>0</v>
      </c>
      <c r="Q244" s="52">
        <f>Q245</f>
        <v>0</v>
      </c>
      <c r="R244" s="51">
        <f t="shared" si="101"/>
        <v>0</v>
      </c>
      <c r="S244" s="52">
        <f>S245</f>
        <v>0</v>
      </c>
      <c r="T244" s="52">
        <f>T245</f>
        <v>0</v>
      </c>
      <c r="U244" s="52">
        <f>U245</f>
        <v>0</v>
      </c>
      <c r="V244" s="51">
        <f t="shared" si="103"/>
        <v>0</v>
      </c>
    </row>
    <row r="245" spans="1:22" s="36" customFormat="1" ht="12.75" hidden="1">
      <c r="A245" s="98"/>
      <c r="B245" s="39" t="s">
        <v>176</v>
      </c>
      <c r="C245" s="39">
        <v>244</v>
      </c>
      <c r="D245" s="49" t="s">
        <v>103</v>
      </c>
      <c r="E245" s="47"/>
      <c r="F245" s="52">
        <f t="shared" si="104"/>
        <v>0</v>
      </c>
      <c r="G245" s="61"/>
      <c r="H245" s="52"/>
      <c r="I245" s="52"/>
      <c r="J245" s="52">
        <f t="shared" si="105"/>
        <v>0</v>
      </c>
      <c r="K245" s="52"/>
      <c r="L245" s="52"/>
      <c r="M245" s="52"/>
      <c r="N245" s="52">
        <f t="shared" si="106"/>
        <v>0</v>
      </c>
      <c r="O245" s="52"/>
      <c r="P245" s="52"/>
      <c r="Q245" s="52"/>
      <c r="R245" s="52">
        <f t="shared" si="101"/>
        <v>0</v>
      </c>
      <c r="S245" s="52"/>
      <c r="T245" s="52"/>
      <c r="U245" s="52"/>
      <c r="V245" s="52">
        <f t="shared" si="103"/>
        <v>0</v>
      </c>
    </row>
    <row r="246" spans="1:22" s="36" customFormat="1" ht="35.25" customHeight="1">
      <c r="A246" s="98"/>
      <c r="B246" s="40" t="s">
        <v>315</v>
      </c>
      <c r="C246" s="40">
        <v>200</v>
      </c>
      <c r="D246" s="49"/>
      <c r="E246" s="47"/>
      <c r="F246" s="51">
        <f t="shared" si="104"/>
        <v>100</v>
      </c>
      <c r="G246" s="61">
        <f>G247+G249</f>
        <v>0</v>
      </c>
      <c r="H246" s="61">
        <f>H247+H249</f>
        <v>0</v>
      </c>
      <c r="I246" s="61">
        <f>I247+I249</f>
        <v>0</v>
      </c>
      <c r="J246" s="60">
        <f t="shared" si="105"/>
        <v>0</v>
      </c>
      <c r="K246" s="61">
        <f>K247+K249</f>
        <v>0</v>
      </c>
      <c r="L246" s="61">
        <f>L247+L249</f>
        <v>0</v>
      </c>
      <c r="M246" s="61">
        <f>M247+M249</f>
        <v>0</v>
      </c>
      <c r="N246" s="60">
        <f t="shared" si="106"/>
        <v>0</v>
      </c>
      <c r="O246" s="52">
        <f>O247+O249</f>
        <v>100</v>
      </c>
      <c r="P246" s="61">
        <f>P247+P249</f>
        <v>0</v>
      </c>
      <c r="Q246" s="61">
        <f>Q247+Q249</f>
        <v>0</v>
      </c>
      <c r="R246" s="51">
        <f t="shared" si="101"/>
        <v>100</v>
      </c>
      <c r="S246" s="61">
        <f>S247+S249</f>
        <v>0</v>
      </c>
      <c r="T246" s="61">
        <f>T247+T249</f>
        <v>0</v>
      </c>
      <c r="U246" s="61">
        <f>U247+U249</f>
        <v>0</v>
      </c>
      <c r="V246" s="60">
        <f>S246+T246+U246</f>
        <v>0</v>
      </c>
    </row>
    <row r="247" spans="1:22" s="36" customFormat="1" ht="21">
      <c r="A247" s="98"/>
      <c r="B247" s="41" t="s">
        <v>322</v>
      </c>
      <c r="C247" s="39">
        <v>240</v>
      </c>
      <c r="D247" s="49"/>
      <c r="E247" s="47"/>
      <c r="F247" s="51">
        <f t="shared" si="104"/>
        <v>100</v>
      </c>
      <c r="G247" s="61">
        <f>G248</f>
        <v>0</v>
      </c>
      <c r="H247" s="61">
        <f>H248</f>
        <v>0</v>
      </c>
      <c r="I247" s="61">
        <f>I248</f>
        <v>0</v>
      </c>
      <c r="J247" s="60">
        <f t="shared" si="105"/>
        <v>0</v>
      </c>
      <c r="K247" s="61">
        <f>K248</f>
        <v>0</v>
      </c>
      <c r="L247" s="61">
        <f>L248</f>
        <v>0</v>
      </c>
      <c r="M247" s="61">
        <f>M248</f>
        <v>0</v>
      </c>
      <c r="N247" s="60">
        <f t="shared" si="106"/>
        <v>0</v>
      </c>
      <c r="O247" s="52">
        <f>O248</f>
        <v>100</v>
      </c>
      <c r="P247" s="61">
        <f>P248</f>
        <v>0</v>
      </c>
      <c r="Q247" s="61">
        <f>Q248</f>
        <v>0</v>
      </c>
      <c r="R247" s="51">
        <f t="shared" si="101"/>
        <v>100</v>
      </c>
      <c r="S247" s="61">
        <f>S248</f>
        <v>0</v>
      </c>
      <c r="T247" s="61">
        <f>T248</f>
        <v>0</v>
      </c>
      <c r="U247" s="61">
        <f>U248</f>
        <v>0</v>
      </c>
      <c r="V247" s="60">
        <f>SUM(S247:U247)</f>
        <v>0</v>
      </c>
    </row>
    <row r="248" spans="1:22" s="36" customFormat="1" ht="12.75">
      <c r="A248" s="98"/>
      <c r="B248" s="39" t="s">
        <v>176</v>
      </c>
      <c r="C248" s="39">
        <v>244</v>
      </c>
      <c r="D248" s="49" t="s">
        <v>103</v>
      </c>
      <c r="E248" s="47"/>
      <c r="F248" s="52">
        <f t="shared" si="104"/>
        <v>100</v>
      </c>
      <c r="G248" s="61">
        <v>0</v>
      </c>
      <c r="H248" s="61">
        <v>0</v>
      </c>
      <c r="I248" s="61">
        <v>0</v>
      </c>
      <c r="J248" s="61">
        <f t="shared" si="105"/>
        <v>0</v>
      </c>
      <c r="K248" s="61">
        <v>0</v>
      </c>
      <c r="L248" s="61">
        <v>0</v>
      </c>
      <c r="M248" s="61">
        <v>0</v>
      </c>
      <c r="N248" s="61">
        <f t="shared" si="106"/>
        <v>0</v>
      </c>
      <c r="O248" s="52">
        <v>100</v>
      </c>
      <c r="P248" s="61">
        <v>0</v>
      </c>
      <c r="Q248" s="61">
        <v>0</v>
      </c>
      <c r="R248" s="52">
        <f t="shared" si="101"/>
        <v>100</v>
      </c>
      <c r="S248" s="61">
        <v>0</v>
      </c>
      <c r="T248" s="61">
        <v>0</v>
      </c>
      <c r="U248" s="61">
        <v>0</v>
      </c>
      <c r="V248" s="61">
        <f>SUM(S248:U248)</f>
        <v>0</v>
      </c>
    </row>
    <row r="249" spans="1:22" s="36" customFormat="1" ht="33.75" customHeight="1" hidden="1">
      <c r="A249" s="98"/>
      <c r="B249" s="41" t="s">
        <v>215</v>
      </c>
      <c r="C249" s="39">
        <v>240</v>
      </c>
      <c r="D249" s="49"/>
      <c r="E249" s="47"/>
      <c r="F249" s="51">
        <f t="shared" si="104"/>
        <v>0</v>
      </c>
      <c r="G249" s="61">
        <f>G250</f>
        <v>0</v>
      </c>
      <c r="H249" s="61">
        <f>H250</f>
        <v>0</v>
      </c>
      <c r="I249" s="61">
        <f>I250</f>
        <v>0</v>
      </c>
      <c r="J249" s="60">
        <f t="shared" si="105"/>
        <v>0</v>
      </c>
      <c r="K249" s="61">
        <f>K250</f>
        <v>0</v>
      </c>
      <c r="L249" s="61">
        <f>L250</f>
        <v>0</v>
      </c>
      <c r="M249" s="61">
        <f>M250</f>
        <v>0</v>
      </c>
      <c r="N249" s="60">
        <f t="shared" si="106"/>
        <v>0</v>
      </c>
      <c r="O249" s="52">
        <f>O250</f>
        <v>0</v>
      </c>
      <c r="P249" s="52">
        <f>P250</f>
        <v>0</v>
      </c>
      <c r="Q249" s="52">
        <f>Q250</f>
        <v>0</v>
      </c>
      <c r="R249" s="51">
        <f t="shared" si="101"/>
        <v>0</v>
      </c>
      <c r="S249" s="61">
        <f>S250</f>
        <v>0</v>
      </c>
      <c r="T249" s="61">
        <f>T250</f>
        <v>0</v>
      </c>
      <c r="U249" s="61">
        <f>U250</f>
        <v>0</v>
      </c>
      <c r="V249" s="60">
        <f>SUM(S249:U249)</f>
        <v>0</v>
      </c>
    </row>
    <row r="250" spans="1:22" s="36" customFormat="1" ht="12.75" hidden="1">
      <c r="A250" s="98"/>
      <c r="B250" s="39" t="s">
        <v>176</v>
      </c>
      <c r="C250" s="39">
        <v>244</v>
      </c>
      <c r="D250" s="49" t="s">
        <v>103</v>
      </c>
      <c r="E250" s="47"/>
      <c r="F250" s="52">
        <f t="shared" si="104"/>
        <v>0</v>
      </c>
      <c r="G250" s="61"/>
      <c r="H250" s="61"/>
      <c r="I250" s="61"/>
      <c r="J250" s="61">
        <f t="shared" si="105"/>
        <v>0</v>
      </c>
      <c r="K250" s="61"/>
      <c r="L250" s="61"/>
      <c r="M250" s="61"/>
      <c r="N250" s="61">
        <f t="shared" si="106"/>
        <v>0</v>
      </c>
      <c r="O250" s="52"/>
      <c r="P250" s="52"/>
      <c r="Q250" s="52"/>
      <c r="R250" s="52">
        <f t="shared" si="101"/>
        <v>0</v>
      </c>
      <c r="S250" s="61"/>
      <c r="T250" s="61"/>
      <c r="U250" s="61"/>
      <c r="V250" s="61">
        <f>SUM(S250:U250)</f>
        <v>0</v>
      </c>
    </row>
    <row r="251" spans="1:22" s="36" customFormat="1" ht="33" customHeight="1">
      <c r="A251" s="98"/>
      <c r="B251" s="40" t="s">
        <v>316</v>
      </c>
      <c r="C251" s="40">
        <v>200</v>
      </c>
      <c r="D251" s="49"/>
      <c r="E251" s="47"/>
      <c r="F251" s="51">
        <f t="shared" si="104"/>
        <v>250</v>
      </c>
      <c r="G251" s="61">
        <f>G252+G254+G259+G256</f>
        <v>0</v>
      </c>
      <c r="H251" s="61">
        <f>H252+H254+H259+H256</f>
        <v>0</v>
      </c>
      <c r="I251" s="61">
        <f>I252+I254+I259+I256</f>
        <v>0</v>
      </c>
      <c r="J251" s="60">
        <f t="shared" si="105"/>
        <v>0</v>
      </c>
      <c r="K251" s="61">
        <f>K252+K254+K259+K256</f>
        <v>0</v>
      </c>
      <c r="L251" s="61">
        <f>L252+L254+L259+L256</f>
        <v>0</v>
      </c>
      <c r="M251" s="61">
        <f>M252+M254+M259+M256</f>
        <v>0</v>
      </c>
      <c r="N251" s="60">
        <f t="shared" si="106"/>
        <v>0</v>
      </c>
      <c r="O251" s="52">
        <f>O252+O254+O259+O256</f>
        <v>83</v>
      </c>
      <c r="P251" s="52">
        <f>P252+P254+P259+P256</f>
        <v>83</v>
      </c>
      <c r="Q251" s="52">
        <f>Q252+Q254+Q259+Q256</f>
        <v>84</v>
      </c>
      <c r="R251" s="51">
        <f t="shared" si="101"/>
        <v>250</v>
      </c>
      <c r="S251" s="61">
        <f>S252+S254+S259+S256</f>
        <v>0</v>
      </c>
      <c r="T251" s="61">
        <f>T252+T254+T259+T256</f>
        <v>0</v>
      </c>
      <c r="U251" s="61">
        <f>U252+U254+U259+U256</f>
        <v>0</v>
      </c>
      <c r="V251" s="60">
        <f>SUM(S251:U251)</f>
        <v>0</v>
      </c>
    </row>
    <row r="252" spans="1:22" s="36" customFormat="1" ht="21.75" customHeight="1">
      <c r="A252" s="98"/>
      <c r="B252" s="41" t="s">
        <v>323</v>
      </c>
      <c r="C252" s="41">
        <v>240</v>
      </c>
      <c r="D252" s="99"/>
      <c r="E252" s="100"/>
      <c r="F252" s="51">
        <f t="shared" si="104"/>
        <v>250</v>
      </c>
      <c r="G252" s="65">
        <f>G253</f>
        <v>0</v>
      </c>
      <c r="H252" s="65">
        <f>H253</f>
        <v>0</v>
      </c>
      <c r="I252" s="65">
        <f>I253</f>
        <v>0</v>
      </c>
      <c r="J252" s="67">
        <f aca="true" t="shared" si="107" ref="J252:J258">G252+H252+I252</f>
        <v>0</v>
      </c>
      <c r="K252" s="65">
        <f>K253</f>
        <v>0</v>
      </c>
      <c r="L252" s="65">
        <f>L253</f>
        <v>0</v>
      </c>
      <c r="M252" s="65">
        <f>M253</f>
        <v>0</v>
      </c>
      <c r="N252" s="67">
        <f aca="true" t="shared" si="108" ref="N252:N258">K252+L252+M252</f>
        <v>0</v>
      </c>
      <c r="O252" s="53">
        <f>O253</f>
        <v>83</v>
      </c>
      <c r="P252" s="53">
        <f>P253</f>
        <v>83</v>
      </c>
      <c r="Q252" s="53">
        <f>Q253</f>
        <v>84</v>
      </c>
      <c r="R252" s="57">
        <f aca="true" t="shared" si="109" ref="R252:R258">O252+P252+Q252</f>
        <v>250</v>
      </c>
      <c r="S252" s="65">
        <f>S253</f>
        <v>0</v>
      </c>
      <c r="T252" s="65">
        <f>T253</f>
        <v>0</v>
      </c>
      <c r="U252" s="65">
        <f>U253</f>
        <v>0</v>
      </c>
      <c r="V252" s="67">
        <f aca="true" t="shared" si="110" ref="V252:V258">S252+T252+U252</f>
        <v>0</v>
      </c>
    </row>
    <row r="253" spans="1:22" s="36" customFormat="1" ht="13.5" customHeight="1">
      <c r="A253" s="98"/>
      <c r="B253" s="39" t="s">
        <v>147</v>
      </c>
      <c r="C253" s="39">
        <v>244</v>
      </c>
      <c r="D253" s="49" t="s">
        <v>105</v>
      </c>
      <c r="E253" s="47"/>
      <c r="F253" s="51">
        <f t="shared" si="104"/>
        <v>250</v>
      </c>
      <c r="G253" s="61">
        <v>0</v>
      </c>
      <c r="H253" s="61">
        <v>0</v>
      </c>
      <c r="I253" s="61">
        <v>0</v>
      </c>
      <c r="J253" s="67">
        <f t="shared" si="107"/>
        <v>0</v>
      </c>
      <c r="K253" s="61">
        <v>0</v>
      </c>
      <c r="L253" s="61">
        <v>0</v>
      </c>
      <c r="M253" s="61">
        <v>0</v>
      </c>
      <c r="N253" s="67">
        <f t="shared" si="108"/>
        <v>0</v>
      </c>
      <c r="O253" s="52">
        <v>83</v>
      </c>
      <c r="P253" s="52">
        <v>83</v>
      </c>
      <c r="Q253" s="52">
        <v>84</v>
      </c>
      <c r="R253" s="57">
        <f t="shared" si="109"/>
        <v>250</v>
      </c>
      <c r="S253" s="61">
        <v>0</v>
      </c>
      <c r="T253" s="61">
        <v>0</v>
      </c>
      <c r="U253" s="61">
        <v>0</v>
      </c>
      <c r="V253" s="67">
        <f t="shared" si="110"/>
        <v>0</v>
      </c>
    </row>
    <row r="254" spans="1:22" s="36" customFormat="1" ht="33" customHeight="1" hidden="1">
      <c r="A254" s="98"/>
      <c r="B254" s="39" t="s">
        <v>242</v>
      </c>
      <c r="C254" s="41">
        <v>240</v>
      </c>
      <c r="D254" s="99"/>
      <c r="E254" s="47"/>
      <c r="F254" s="51">
        <f t="shared" si="104"/>
        <v>0</v>
      </c>
      <c r="G254" s="53">
        <f>G255</f>
        <v>0</v>
      </c>
      <c r="H254" s="53">
        <f>H255</f>
        <v>0</v>
      </c>
      <c r="I254" s="53">
        <f>I255</f>
        <v>0</v>
      </c>
      <c r="J254" s="57">
        <f t="shared" si="107"/>
        <v>0</v>
      </c>
      <c r="K254" s="53">
        <f>K255</f>
        <v>0</v>
      </c>
      <c r="L254" s="53">
        <f>L255</f>
        <v>0</v>
      </c>
      <c r="M254" s="53">
        <f>M255</f>
        <v>0</v>
      </c>
      <c r="N254" s="57">
        <f t="shared" si="108"/>
        <v>0</v>
      </c>
      <c r="O254" s="53">
        <f>O255</f>
        <v>0</v>
      </c>
      <c r="P254" s="53">
        <f>P255</f>
        <v>0</v>
      </c>
      <c r="Q254" s="53">
        <f>Q255</f>
        <v>0</v>
      </c>
      <c r="R254" s="57">
        <f t="shared" si="109"/>
        <v>0</v>
      </c>
      <c r="S254" s="65">
        <f>S255</f>
        <v>0</v>
      </c>
      <c r="T254" s="65">
        <f>T255</f>
        <v>0</v>
      </c>
      <c r="U254" s="65">
        <f>U255</f>
        <v>0</v>
      </c>
      <c r="V254" s="67">
        <f t="shared" si="110"/>
        <v>0</v>
      </c>
    </row>
    <row r="255" spans="1:22" s="36" customFormat="1" ht="13.5" customHeight="1" hidden="1">
      <c r="A255" s="98"/>
      <c r="B255" s="39" t="s">
        <v>147</v>
      </c>
      <c r="C255" s="39">
        <v>244</v>
      </c>
      <c r="D255" s="49" t="s">
        <v>103</v>
      </c>
      <c r="E255" s="47"/>
      <c r="F255" s="51">
        <f t="shared" si="104"/>
        <v>0</v>
      </c>
      <c r="G255" s="52"/>
      <c r="H255" s="52"/>
      <c r="I255" s="52"/>
      <c r="J255" s="57">
        <f t="shared" si="107"/>
        <v>0</v>
      </c>
      <c r="K255" s="52"/>
      <c r="L255" s="52"/>
      <c r="M255" s="52">
        <f>200-200</f>
        <v>0</v>
      </c>
      <c r="N255" s="57">
        <f t="shared" si="108"/>
        <v>0</v>
      </c>
      <c r="O255" s="52"/>
      <c r="P255" s="52"/>
      <c r="Q255" s="52"/>
      <c r="R255" s="57">
        <f t="shared" si="109"/>
        <v>0</v>
      </c>
      <c r="S255" s="61"/>
      <c r="T255" s="61"/>
      <c r="U255" s="61"/>
      <c r="V255" s="67">
        <f t="shared" si="110"/>
        <v>0</v>
      </c>
    </row>
    <row r="256" spans="1:22" s="36" customFormat="1" ht="24.75" customHeight="1" hidden="1">
      <c r="A256" s="98"/>
      <c r="B256" s="39" t="s">
        <v>248</v>
      </c>
      <c r="C256" s="41">
        <v>240</v>
      </c>
      <c r="D256" s="99"/>
      <c r="E256" s="47"/>
      <c r="F256" s="51">
        <f aca="true" t="shared" si="111" ref="F256:F269">J256+N256+R256+V256</f>
        <v>0</v>
      </c>
      <c r="G256" s="53">
        <f>G257+G258</f>
        <v>0</v>
      </c>
      <c r="H256" s="53">
        <f>H257+H258</f>
        <v>0</v>
      </c>
      <c r="I256" s="53">
        <f>I257+I258</f>
        <v>0</v>
      </c>
      <c r="J256" s="57">
        <f t="shared" si="107"/>
        <v>0</v>
      </c>
      <c r="K256" s="53">
        <f>K257+K258</f>
        <v>0</v>
      </c>
      <c r="L256" s="53">
        <f>L257+L258</f>
        <v>0</v>
      </c>
      <c r="M256" s="53">
        <f>M257+M258</f>
        <v>0</v>
      </c>
      <c r="N256" s="57">
        <f t="shared" si="108"/>
        <v>0</v>
      </c>
      <c r="O256" s="53">
        <f>O257+O258</f>
        <v>0</v>
      </c>
      <c r="P256" s="53">
        <f>P257+P258</f>
        <v>0</v>
      </c>
      <c r="Q256" s="53">
        <f>Q257+Q258</f>
        <v>0</v>
      </c>
      <c r="R256" s="57">
        <f t="shared" si="109"/>
        <v>0</v>
      </c>
      <c r="S256" s="65">
        <f>S257+S258</f>
        <v>0</v>
      </c>
      <c r="T256" s="65">
        <f>T257+T258</f>
        <v>0</v>
      </c>
      <c r="U256" s="65">
        <f>U257+U258</f>
        <v>0</v>
      </c>
      <c r="V256" s="67">
        <f t="shared" si="110"/>
        <v>0</v>
      </c>
    </row>
    <row r="257" spans="1:22" s="36" customFormat="1" ht="13.5" customHeight="1" hidden="1">
      <c r="A257" s="98"/>
      <c r="B257" s="39" t="s">
        <v>147</v>
      </c>
      <c r="C257" s="39">
        <v>244</v>
      </c>
      <c r="D257" s="49" t="s">
        <v>105</v>
      </c>
      <c r="E257" s="47"/>
      <c r="F257" s="51">
        <f t="shared" si="111"/>
        <v>0</v>
      </c>
      <c r="G257" s="52"/>
      <c r="H257" s="52"/>
      <c r="I257" s="52"/>
      <c r="J257" s="57">
        <f t="shared" si="107"/>
        <v>0</v>
      </c>
      <c r="K257" s="52"/>
      <c r="L257" s="52"/>
      <c r="M257" s="52"/>
      <c r="N257" s="57">
        <f t="shared" si="108"/>
        <v>0</v>
      </c>
      <c r="O257" s="52"/>
      <c r="P257" s="52"/>
      <c r="Q257" s="52"/>
      <c r="R257" s="57">
        <f t="shared" si="109"/>
        <v>0</v>
      </c>
      <c r="S257" s="61"/>
      <c r="T257" s="61"/>
      <c r="U257" s="61"/>
      <c r="V257" s="67">
        <f t="shared" si="110"/>
        <v>0</v>
      </c>
    </row>
    <row r="258" spans="1:22" s="36" customFormat="1" ht="13.5" customHeight="1" hidden="1">
      <c r="A258" s="98"/>
      <c r="B258" s="39" t="s">
        <v>110</v>
      </c>
      <c r="C258" s="39">
        <v>244</v>
      </c>
      <c r="D258" s="49" t="s">
        <v>111</v>
      </c>
      <c r="E258" s="47"/>
      <c r="F258" s="51">
        <f t="shared" si="111"/>
        <v>0</v>
      </c>
      <c r="G258" s="52"/>
      <c r="H258" s="52"/>
      <c r="I258" s="52"/>
      <c r="J258" s="57">
        <f t="shared" si="107"/>
        <v>0</v>
      </c>
      <c r="K258" s="52"/>
      <c r="L258" s="52"/>
      <c r="M258" s="52"/>
      <c r="N258" s="57">
        <f t="shared" si="108"/>
        <v>0</v>
      </c>
      <c r="O258" s="52"/>
      <c r="P258" s="52"/>
      <c r="Q258" s="52"/>
      <c r="R258" s="57">
        <f t="shared" si="109"/>
        <v>0</v>
      </c>
      <c r="S258" s="61"/>
      <c r="T258" s="61"/>
      <c r="U258" s="61"/>
      <c r="V258" s="67">
        <f t="shared" si="110"/>
        <v>0</v>
      </c>
    </row>
    <row r="259" spans="1:22" s="36" customFormat="1" ht="22.5" customHeight="1" hidden="1">
      <c r="A259" s="98"/>
      <c r="B259" s="39"/>
      <c r="C259" s="41">
        <v>240</v>
      </c>
      <c r="D259" s="99"/>
      <c r="E259" s="47"/>
      <c r="F259" s="51">
        <f t="shared" si="111"/>
        <v>0</v>
      </c>
      <c r="G259" s="53">
        <f>G260</f>
        <v>0</v>
      </c>
      <c r="H259" s="53">
        <f>H260</f>
        <v>0</v>
      </c>
      <c r="I259" s="53">
        <f>I260</f>
        <v>0</v>
      </c>
      <c r="J259" s="57">
        <f>G259+H259+I259</f>
        <v>0</v>
      </c>
      <c r="K259" s="53">
        <f>K260</f>
        <v>0</v>
      </c>
      <c r="L259" s="53">
        <f>L260</f>
        <v>0</v>
      </c>
      <c r="M259" s="53">
        <f>M260</f>
        <v>0</v>
      </c>
      <c r="N259" s="57">
        <f>K259+L259+M259</f>
        <v>0</v>
      </c>
      <c r="O259" s="53">
        <f>O260</f>
        <v>0</v>
      </c>
      <c r="P259" s="53">
        <f>P260</f>
        <v>0</v>
      </c>
      <c r="Q259" s="53">
        <f>Q260</f>
        <v>0</v>
      </c>
      <c r="R259" s="57">
        <f>O259+P259+Q259</f>
        <v>0</v>
      </c>
      <c r="S259" s="65">
        <f>S260</f>
        <v>0</v>
      </c>
      <c r="T259" s="65">
        <f>T260</f>
        <v>0</v>
      </c>
      <c r="U259" s="65">
        <f>U260</f>
        <v>0</v>
      </c>
      <c r="V259" s="67">
        <f>S259+T259+U259</f>
        <v>0</v>
      </c>
    </row>
    <row r="260" spans="1:22" s="36" customFormat="1" ht="13.5" customHeight="1" hidden="1">
      <c r="A260" s="98"/>
      <c r="B260" s="39"/>
      <c r="C260" s="39">
        <v>244</v>
      </c>
      <c r="D260" s="49" t="s">
        <v>109</v>
      </c>
      <c r="E260" s="47"/>
      <c r="F260" s="51">
        <f t="shared" si="111"/>
        <v>0</v>
      </c>
      <c r="G260" s="52"/>
      <c r="H260" s="52"/>
      <c r="I260" s="52"/>
      <c r="J260" s="57">
        <f>G260+H260+I260</f>
        <v>0</v>
      </c>
      <c r="K260" s="52"/>
      <c r="L260" s="52"/>
      <c r="M260" s="52"/>
      <c r="N260" s="57">
        <f>K260+L260+M260</f>
        <v>0</v>
      </c>
      <c r="O260" s="52"/>
      <c r="P260" s="52"/>
      <c r="Q260" s="52"/>
      <c r="R260" s="57">
        <f>O260+P260+Q260</f>
        <v>0</v>
      </c>
      <c r="S260" s="61"/>
      <c r="T260" s="61"/>
      <c r="U260" s="61"/>
      <c r="V260" s="67">
        <f>S260+T260+U260</f>
        <v>0</v>
      </c>
    </row>
    <row r="261" spans="1:22" s="36" customFormat="1" ht="29.25" customHeight="1">
      <c r="A261" s="98"/>
      <c r="B261" s="40" t="s">
        <v>263</v>
      </c>
      <c r="C261" s="39">
        <v>240</v>
      </c>
      <c r="D261" s="49"/>
      <c r="E261" s="47"/>
      <c r="F261" s="51">
        <f t="shared" si="111"/>
        <v>253.5</v>
      </c>
      <c r="G261" s="65">
        <f>G262+G264+G266+G268+G270+G274+G272</f>
        <v>0</v>
      </c>
      <c r="H261" s="65">
        <f>H262+H264+H266+H268+H270+H274+H272</f>
        <v>0</v>
      </c>
      <c r="I261" s="65">
        <f>I262+I264+I266+I268+I270+I274+I272</f>
        <v>0</v>
      </c>
      <c r="J261" s="60">
        <f>SUM(G261:I261)</f>
        <v>0</v>
      </c>
      <c r="K261" s="65">
        <f>K262+K264+K266+K268+K270+K274+K272</f>
        <v>0</v>
      </c>
      <c r="L261" s="65">
        <f>L262+L264+L266+L268+L270+L274+L272</f>
        <v>0</v>
      </c>
      <c r="M261" s="65">
        <f>M262+M264+M266+M268+M270+M274+M272</f>
        <v>0</v>
      </c>
      <c r="N261" s="60">
        <f>SUM(K261:M261)</f>
        <v>0</v>
      </c>
      <c r="O261" s="53">
        <f>O262+O264+O266+O268+O270+O274+O272</f>
        <v>121.5</v>
      </c>
      <c r="P261" s="53">
        <f>P262+P264+P266+P268+P270+P274+P272</f>
        <v>132</v>
      </c>
      <c r="Q261" s="65">
        <f>Q262+Q264+Q266+Q268+Q270+Q274+Q272</f>
        <v>0</v>
      </c>
      <c r="R261" s="57">
        <f>SUM(O261:Q261)</f>
        <v>253.5</v>
      </c>
      <c r="S261" s="65">
        <f>S262+S264+S266+S268+S270+S274+S272</f>
        <v>0</v>
      </c>
      <c r="T261" s="65">
        <f>T262+T264+T266+T268+T270+T274+T272</f>
        <v>0</v>
      </c>
      <c r="U261" s="65">
        <f>U262+U264+U266+U268+U270+U274+U272</f>
        <v>0</v>
      </c>
      <c r="V261" s="60">
        <f>SUM(S261:U261)</f>
        <v>0</v>
      </c>
    </row>
    <row r="262" spans="1:22" s="36" customFormat="1" ht="56.25" customHeight="1">
      <c r="A262" s="98"/>
      <c r="B262" s="41" t="s">
        <v>304</v>
      </c>
      <c r="C262" s="95" t="s">
        <v>266</v>
      </c>
      <c r="D262" s="95"/>
      <c r="E262" s="47"/>
      <c r="F262" s="51">
        <f t="shared" si="111"/>
        <v>253.5</v>
      </c>
      <c r="G262" s="65">
        <f>G263</f>
        <v>0</v>
      </c>
      <c r="H262" s="65">
        <f>H263</f>
        <v>0</v>
      </c>
      <c r="I262" s="65">
        <f>I263</f>
        <v>0</v>
      </c>
      <c r="J262" s="67">
        <f aca="true" t="shared" si="112" ref="J262:J267">G262+H262+I262</f>
        <v>0</v>
      </c>
      <c r="K262" s="65">
        <f>K263</f>
        <v>0</v>
      </c>
      <c r="L262" s="65">
        <f>L263</f>
        <v>0</v>
      </c>
      <c r="M262" s="65">
        <f>M263</f>
        <v>0</v>
      </c>
      <c r="N262" s="67">
        <f aca="true" t="shared" si="113" ref="N262:N267">K262+L262+M262</f>
        <v>0</v>
      </c>
      <c r="O262" s="53">
        <f>O263</f>
        <v>121.5</v>
      </c>
      <c r="P262" s="53">
        <f>P263</f>
        <v>132</v>
      </c>
      <c r="Q262" s="65">
        <f>Q263</f>
        <v>0</v>
      </c>
      <c r="R262" s="57">
        <f aca="true" t="shared" si="114" ref="R262:R267">O262+P262+Q262</f>
        <v>253.5</v>
      </c>
      <c r="S262" s="65">
        <f>S263</f>
        <v>0</v>
      </c>
      <c r="T262" s="65">
        <f>T263</f>
        <v>0</v>
      </c>
      <c r="U262" s="65">
        <f>U263</f>
        <v>0</v>
      </c>
      <c r="V262" s="67">
        <f aca="true" t="shared" si="115" ref="V262:V267">S262+T262+U262</f>
        <v>0</v>
      </c>
    </row>
    <row r="263" spans="1:22" s="36" customFormat="1" ht="13.5" customHeight="1">
      <c r="A263" s="98"/>
      <c r="B263" s="97" t="s">
        <v>212</v>
      </c>
      <c r="C263" s="95" t="s">
        <v>258</v>
      </c>
      <c r="D263" s="95" t="s">
        <v>103</v>
      </c>
      <c r="E263" s="47"/>
      <c r="F263" s="51">
        <f t="shared" si="111"/>
        <v>253.5</v>
      </c>
      <c r="G263" s="61">
        <v>0</v>
      </c>
      <c r="H263" s="61">
        <v>0</v>
      </c>
      <c r="I263" s="61">
        <v>0</v>
      </c>
      <c r="J263" s="67">
        <f t="shared" si="112"/>
        <v>0</v>
      </c>
      <c r="K263" s="61">
        <v>0</v>
      </c>
      <c r="L263" s="61">
        <v>0</v>
      </c>
      <c r="M263" s="61">
        <v>0</v>
      </c>
      <c r="N263" s="67">
        <f t="shared" si="113"/>
        <v>0</v>
      </c>
      <c r="O263" s="52">
        <f>253.5-132</f>
        <v>121.5</v>
      </c>
      <c r="P263" s="52">
        <v>132</v>
      </c>
      <c r="Q263" s="61">
        <v>0</v>
      </c>
      <c r="R263" s="57">
        <f t="shared" si="114"/>
        <v>253.5</v>
      </c>
      <c r="S263" s="61">
        <v>0</v>
      </c>
      <c r="T263" s="61">
        <v>0</v>
      </c>
      <c r="U263" s="61">
        <v>0</v>
      </c>
      <c r="V263" s="67">
        <f t="shared" si="115"/>
        <v>0</v>
      </c>
    </row>
    <row r="264" spans="1:22" s="36" customFormat="1" ht="73.5" customHeight="1" hidden="1">
      <c r="A264" s="98"/>
      <c r="B264" s="42" t="s">
        <v>264</v>
      </c>
      <c r="C264" s="94" t="s">
        <v>266</v>
      </c>
      <c r="D264" s="94"/>
      <c r="E264" s="47"/>
      <c r="F264" s="51">
        <f t="shared" si="111"/>
        <v>0</v>
      </c>
      <c r="G264" s="53">
        <f>G265</f>
        <v>0</v>
      </c>
      <c r="H264" s="53">
        <f>H265</f>
        <v>0</v>
      </c>
      <c r="I264" s="53">
        <f>I265</f>
        <v>0</v>
      </c>
      <c r="J264" s="57">
        <f t="shared" si="112"/>
        <v>0</v>
      </c>
      <c r="K264" s="53">
        <f>K265</f>
        <v>0</v>
      </c>
      <c r="L264" s="53">
        <f>L265</f>
        <v>0</v>
      </c>
      <c r="M264" s="53">
        <f>M265</f>
        <v>0</v>
      </c>
      <c r="N264" s="57">
        <f t="shared" si="113"/>
        <v>0</v>
      </c>
      <c r="O264" s="53">
        <f>O265</f>
        <v>0</v>
      </c>
      <c r="P264" s="53">
        <f>P265</f>
        <v>0</v>
      </c>
      <c r="Q264" s="53">
        <f>Q265</f>
        <v>0</v>
      </c>
      <c r="R264" s="57">
        <f t="shared" si="114"/>
        <v>0</v>
      </c>
      <c r="S264" s="53">
        <f>S265</f>
        <v>0</v>
      </c>
      <c r="T264" s="53">
        <f>T265</f>
        <v>0</v>
      </c>
      <c r="U264" s="53">
        <f>U265</f>
        <v>0</v>
      </c>
      <c r="V264" s="57">
        <f t="shared" si="115"/>
        <v>0</v>
      </c>
    </row>
    <row r="265" spans="1:22" s="36" customFormat="1" ht="13.5" customHeight="1" hidden="1">
      <c r="A265" s="98"/>
      <c r="B265" s="97" t="s">
        <v>212</v>
      </c>
      <c r="C265" s="95" t="s">
        <v>258</v>
      </c>
      <c r="D265" s="95" t="s">
        <v>105</v>
      </c>
      <c r="E265" s="47"/>
      <c r="F265" s="51">
        <f t="shared" si="111"/>
        <v>0</v>
      </c>
      <c r="G265" s="52"/>
      <c r="H265" s="52"/>
      <c r="I265" s="52"/>
      <c r="J265" s="57">
        <f t="shared" si="112"/>
        <v>0</v>
      </c>
      <c r="K265" s="52"/>
      <c r="L265" s="52"/>
      <c r="M265" s="52"/>
      <c r="N265" s="57">
        <f t="shared" si="113"/>
        <v>0</v>
      </c>
      <c r="O265" s="52"/>
      <c r="P265" s="52"/>
      <c r="Q265" s="52"/>
      <c r="R265" s="57">
        <f t="shared" si="114"/>
        <v>0</v>
      </c>
      <c r="S265" s="52"/>
      <c r="T265" s="52"/>
      <c r="U265" s="52"/>
      <c r="V265" s="57">
        <f t="shared" si="115"/>
        <v>0</v>
      </c>
    </row>
    <row r="266" spans="1:22" s="36" customFormat="1" ht="60.75" customHeight="1" hidden="1">
      <c r="A266" s="98"/>
      <c r="B266" s="42" t="s">
        <v>265</v>
      </c>
      <c r="C266" s="94" t="s">
        <v>266</v>
      </c>
      <c r="D266" s="94"/>
      <c r="E266" s="47"/>
      <c r="F266" s="51">
        <f t="shared" si="111"/>
        <v>0</v>
      </c>
      <c r="G266" s="51">
        <f>G267</f>
        <v>0</v>
      </c>
      <c r="H266" s="51">
        <f>H267</f>
        <v>0</v>
      </c>
      <c r="I266" s="51">
        <f>I267</f>
        <v>0</v>
      </c>
      <c r="J266" s="57">
        <f t="shared" si="112"/>
        <v>0</v>
      </c>
      <c r="K266" s="51">
        <f>K267</f>
        <v>0</v>
      </c>
      <c r="L266" s="51">
        <f>L267</f>
        <v>0</v>
      </c>
      <c r="M266" s="51">
        <f>M267</f>
        <v>0</v>
      </c>
      <c r="N266" s="57">
        <f>K266+L266+M266</f>
        <v>0</v>
      </c>
      <c r="O266" s="51">
        <f>O267</f>
        <v>0</v>
      </c>
      <c r="P266" s="51">
        <f>P267</f>
        <v>0</v>
      </c>
      <c r="Q266" s="51">
        <f>Q267</f>
        <v>0</v>
      </c>
      <c r="R266" s="57">
        <f t="shared" si="114"/>
        <v>0</v>
      </c>
      <c r="S266" s="51">
        <f>S267</f>
        <v>0</v>
      </c>
      <c r="T266" s="51">
        <f>T267</f>
        <v>0</v>
      </c>
      <c r="U266" s="51">
        <f>U267</f>
        <v>0</v>
      </c>
      <c r="V266" s="57">
        <f t="shared" si="115"/>
        <v>0</v>
      </c>
    </row>
    <row r="267" spans="1:22" s="36" customFormat="1" ht="13.5" customHeight="1" hidden="1">
      <c r="A267" s="98"/>
      <c r="B267" s="97" t="s">
        <v>212</v>
      </c>
      <c r="C267" s="95" t="s">
        <v>258</v>
      </c>
      <c r="D267" s="95" t="s">
        <v>103</v>
      </c>
      <c r="E267" s="47"/>
      <c r="F267" s="51">
        <f t="shared" si="111"/>
        <v>0</v>
      </c>
      <c r="G267" s="52"/>
      <c r="H267" s="52"/>
      <c r="I267" s="52"/>
      <c r="J267" s="57">
        <f t="shared" si="112"/>
        <v>0</v>
      </c>
      <c r="K267" s="52">
        <f>4816.53-4816.53</f>
        <v>0</v>
      </c>
      <c r="L267" s="52"/>
      <c r="M267" s="52"/>
      <c r="N267" s="57">
        <f t="shared" si="113"/>
        <v>0</v>
      </c>
      <c r="O267" s="52"/>
      <c r="P267" s="52"/>
      <c r="Q267" s="52"/>
      <c r="R267" s="57">
        <f t="shared" si="114"/>
        <v>0</v>
      </c>
      <c r="S267" s="52"/>
      <c r="T267" s="52"/>
      <c r="U267" s="52"/>
      <c r="V267" s="57">
        <f t="shared" si="115"/>
        <v>0</v>
      </c>
    </row>
    <row r="268" spans="1:22" s="36" customFormat="1" ht="64.5" customHeight="1" hidden="1">
      <c r="A268" s="98"/>
      <c r="B268" s="42" t="s">
        <v>265</v>
      </c>
      <c r="C268" s="94" t="s">
        <v>266</v>
      </c>
      <c r="D268" s="94"/>
      <c r="E268" s="47"/>
      <c r="F268" s="51">
        <f t="shared" si="111"/>
        <v>0</v>
      </c>
      <c r="G268" s="51">
        <f>G269</f>
        <v>0</v>
      </c>
      <c r="H268" s="51">
        <f>H269</f>
        <v>0</v>
      </c>
      <c r="I268" s="51">
        <f>I269</f>
        <v>0</v>
      </c>
      <c r="J268" s="57">
        <f aca="true" t="shared" si="116" ref="J268:J275">G268+H268+I268</f>
        <v>0</v>
      </c>
      <c r="K268" s="51">
        <f>K269</f>
        <v>0</v>
      </c>
      <c r="L268" s="51">
        <f>L269</f>
        <v>0</v>
      </c>
      <c r="M268" s="51">
        <f>M269</f>
        <v>0</v>
      </c>
      <c r="N268" s="57">
        <f aca="true" t="shared" si="117" ref="N268:N275">K268+L268+M268</f>
        <v>0</v>
      </c>
      <c r="O268" s="51">
        <f>O269</f>
        <v>0</v>
      </c>
      <c r="P268" s="51">
        <f>P269</f>
        <v>0</v>
      </c>
      <c r="Q268" s="51">
        <f>Q269</f>
        <v>0</v>
      </c>
      <c r="R268" s="51">
        <f aca="true" t="shared" si="118" ref="R268:R275">O268+P268+Q268</f>
        <v>0</v>
      </c>
      <c r="S268" s="51">
        <f>S269</f>
        <v>0</v>
      </c>
      <c r="T268" s="51">
        <f>T269</f>
        <v>0</v>
      </c>
      <c r="U268" s="51">
        <f>U269</f>
        <v>0</v>
      </c>
      <c r="V268" s="57">
        <f aca="true" t="shared" si="119" ref="V268:V275">S268+T268+U268</f>
        <v>0</v>
      </c>
    </row>
    <row r="269" spans="1:22" s="36" customFormat="1" ht="13.5" customHeight="1" hidden="1">
      <c r="A269" s="98"/>
      <c r="B269" s="97" t="s">
        <v>212</v>
      </c>
      <c r="C269" s="95" t="s">
        <v>258</v>
      </c>
      <c r="D269" s="95" t="s">
        <v>103</v>
      </c>
      <c r="E269" s="47"/>
      <c r="F269" s="51">
        <f t="shared" si="111"/>
        <v>0</v>
      </c>
      <c r="G269" s="52"/>
      <c r="H269" s="52"/>
      <c r="I269" s="52"/>
      <c r="J269" s="57">
        <f t="shared" si="116"/>
        <v>0</v>
      </c>
      <c r="K269" s="52"/>
      <c r="L269" s="52"/>
      <c r="M269" s="52"/>
      <c r="N269" s="57">
        <f t="shared" si="117"/>
        <v>0</v>
      </c>
      <c r="O269" s="52"/>
      <c r="P269" s="52"/>
      <c r="Q269" s="52"/>
      <c r="R269" s="52">
        <f t="shared" si="118"/>
        <v>0</v>
      </c>
      <c r="S269" s="52"/>
      <c r="T269" s="52"/>
      <c r="U269" s="52"/>
      <c r="V269" s="57">
        <f t="shared" si="119"/>
        <v>0</v>
      </c>
    </row>
    <row r="270" spans="1:22" s="36" customFormat="1" ht="72.75" customHeight="1" hidden="1">
      <c r="A270" s="98"/>
      <c r="B270" s="42" t="s">
        <v>298</v>
      </c>
      <c r="C270" s="95" t="s">
        <v>266</v>
      </c>
      <c r="D270" s="95"/>
      <c r="E270" s="47"/>
      <c r="F270" s="51">
        <f aca="true" t="shared" si="120" ref="F270:F279">J270+N270+R270+V270</f>
        <v>0</v>
      </c>
      <c r="G270" s="51">
        <f>G271</f>
        <v>0</v>
      </c>
      <c r="H270" s="51">
        <f>H271</f>
        <v>0</v>
      </c>
      <c r="I270" s="51">
        <f>I271</f>
        <v>0</v>
      </c>
      <c r="J270" s="57">
        <f t="shared" si="116"/>
        <v>0</v>
      </c>
      <c r="K270" s="51">
        <f>K271</f>
        <v>0</v>
      </c>
      <c r="L270" s="51">
        <f>L271</f>
        <v>0</v>
      </c>
      <c r="M270" s="51">
        <f>M271</f>
        <v>0</v>
      </c>
      <c r="N270" s="57">
        <f t="shared" si="117"/>
        <v>0</v>
      </c>
      <c r="O270" s="51">
        <f>O271</f>
        <v>0</v>
      </c>
      <c r="P270" s="51">
        <f>P271</f>
        <v>0</v>
      </c>
      <c r="Q270" s="51">
        <f>Q271</f>
        <v>0</v>
      </c>
      <c r="R270" s="51">
        <f t="shared" si="118"/>
        <v>0</v>
      </c>
      <c r="S270" s="51">
        <f>S271</f>
        <v>0</v>
      </c>
      <c r="T270" s="51">
        <f>T271</f>
        <v>0</v>
      </c>
      <c r="U270" s="51">
        <f>U271</f>
        <v>0</v>
      </c>
      <c r="V270" s="57">
        <f t="shared" si="119"/>
        <v>0</v>
      </c>
    </row>
    <row r="271" spans="1:22" s="36" customFormat="1" ht="13.5" customHeight="1" hidden="1">
      <c r="A271" s="98"/>
      <c r="B271" s="97" t="s">
        <v>212</v>
      </c>
      <c r="C271" s="95" t="s">
        <v>258</v>
      </c>
      <c r="D271" s="95" t="s">
        <v>103</v>
      </c>
      <c r="E271" s="47"/>
      <c r="F271" s="51">
        <f t="shared" si="120"/>
        <v>0</v>
      </c>
      <c r="G271" s="52"/>
      <c r="H271" s="52"/>
      <c r="I271" s="52"/>
      <c r="J271" s="57">
        <f t="shared" si="116"/>
        <v>0</v>
      </c>
      <c r="K271" s="52"/>
      <c r="L271" s="52"/>
      <c r="M271" s="52"/>
      <c r="N271" s="57">
        <f t="shared" si="117"/>
        <v>0</v>
      </c>
      <c r="O271" s="52"/>
      <c r="P271" s="52"/>
      <c r="Q271" s="52"/>
      <c r="R271" s="52">
        <f t="shared" si="118"/>
        <v>0</v>
      </c>
      <c r="S271" s="52"/>
      <c r="T271" s="52"/>
      <c r="U271" s="52"/>
      <c r="V271" s="57">
        <f t="shared" si="119"/>
        <v>0</v>
      </c>
    </row>
    <row r="272" spans="1:22" s="36" customFormat="1" ht="45" customHeight="1" hidden="1">
      <c r="A272" s="98"/>
      <c r="B272" s="42" t="s">
        <v>298</v>
      </c>
      <c r="C272" s="95" t="s">
        <v>266</v>
      </c>
      <c r="D272" s="95"/>
      <c r="E272" s="47"/>
      <c r="F272" s="51">
        <f t="shared" si="120"/>
        <v>0</v>
      </c>
      <c r="G272" s="51">
        <f>G273</f>
        <v>0</v>
      </c>
      <c r="H272" s="51">
        <f>H273</f>
        <v>0</v>
      </c>
      <c r="I272" s="51">
        <f>I273</f>
        <v>0</v>
      </c>
      <c r="J272" s="57">
        <f>G272+H272+I272</f>
        <v>0</v>
      </c>
      <c r="K272" s="51">
        <f>K273</f>
        <v>0</v>
      </c>
      <c r="L272" s="51">
        <f>L273</f>
        <v>0</v>
      </c>
      <c r="M272" s="51">
        <f>M273</f>
        <v>0</v>
      </c>
      <c r="N272" s="57">
        <f>K272+L272+M272</f>
        <v>0</v>
      </c>
      <c r="O272" s="51">
        <f>O273</f>
        <v>0</v>
      </c>
      <c r="P272" s="51">
        <f>P273</f>
        <v>0</v>
      </c>
      <c r="Q272" s="51">
        <f>Q273</f>
        <v>0</v>
      </c>
      <c r="R272" s="51">
        <f>O272+P272+Q272</f>
        <v>0</v>
      </c>
      <c r="S272" s="51">
        <f>S273</f>
        <v>0</v>
      </c>
      <c r="T272" s="51">
        <f>T273</f>
        <v>0</v>
      </c>
      <c r="U272" s="51">
        <f>U273</f>
        <v>0</v>
      </c>
      <c r="V272" s="57">
        <f>S272+T272+U272</f>
        <v>0</v>
      </c>
    </row>
    <row r="273" spans="1:22" s="36" customFormat="1" ht="13.5" customHeight="1" hidden="1">
      <c r="A273" s="98"/>
      <c r="B273" s="97" t="s">
        <v>212</v>
      </c>
      <c r="C273" s="95" t="s">
        <v>258</v>
      </c>
      <c r="D273" s="95" t="s">
        <v>103</v>
      </c>
      <c r="E273" s="47"/>
      <c r="F273" s="51">
        <f t="shared" si="120"/>
        <v>0</v>
      </c>
      <c r="G273" s="52"/>
      <c r="H273" s="52"/>
      <c r="I273" s="52"/>
      <c r="J273" s="57">
        <f>G273+H273+I273</f>
        <v>0</v>
      </c>
      <c r="K273" s="52"/>
      <c r="L273" s="52"/>
      <c r="M273" s="52"/>
      <c r="N273" s="57">
        <f>K273+L273+M273</f>
        <v>0</v>
      </c>
      <c r="O273" s="52"/>
      <c r="P273" s="52"/>
      <c r="Q273" s="52"/>
      <c r="R273" s="52">
        <f>O273+P273+Q273</f>
        <v>0</v>
      </c>
      <c r="S273" s="52"/>
      <c r="T273" s="52"/>
      <c r="U273" s="52"/>
      <c r="V273" s="57">
        <f>S273+T273+U273</f>
        <v>0</v>
      </c>
    </row>
    <row r="274" spans="1:22" s="36" customFormat="1" ht="74.25" customHeight="1" hidden="1">
      <c r="A274" s="98"/>
      <c r="B274" s="42" t="s">
        <v>278</v>
      </c>
      <c r="C274" s="95" t="s">
        <v>266</v>
      </c>
      <c r="D274" s="95"/>
      <c r="E274" s="47"/>
      <c r="F274" s="51">
        <f t="shared" si="120"/>
        <v>0</v>
      </c>
      <c r="G274" s="51">
        <f>G275</f>
        <v>0</v>
      </c>
      <c r="H274" s="51">
        <f>H275</f>
        <v>0</v>
      </c>
      <c r="I274" s="51">
        <f>I275</f>
        <v>0</v>
      </c>
      <c r="J274" s="57">
        <f t="shared" si="116"/>
        <v>0</v>
      </c>
      <c r="K274" s="51">
        <f>K275</f>
        <v>0</v>
      </c>
      <c r="L274" s="51">
        <f>L275</f>
        <v>0</v>
      </c>
      <c r="M274" s="51">
        <f>M275</f>
        <v>0</v>
      </c>
      <c r="N274" s="57">
        <f t="shared" si="117"/>
        <v>0</v>
      </c>
      <c r="O274" s="51">
        <f>O275</f>
        <v>0</v>
      </c>
      <c r="P274" s="51">
        <f>P275</f>
        <v>0</v>
      </c>
      <c r="Q274" s="51">
        <f>Q275</f>
        <v>0</v>
      </c>
      <c r="R274" s="51">
        <f t="shared" si="118"/>
        <v>0</v>
      </c>
      <c r="S274" s="51">
        <f>S275</f>
        <v>0</v>
      </c>
      <c r="T274" s="51">
        <f>T275</f>
        <v>0</v>
      </c>
      <c r="U274" s="51">
        <f>U275</f>
        <v>0</v>
      </c>
      <c r="V274" s="57">
        <f t="shared" si="119"/>
        <v>0</v>
      </c>
    </row>
    <row r="275" spans="1:22" s="36" customFormat="1" ht="13.5" customHeight="1" hidden="1">
      <c r="A275" s="98"/>
      <c r="B275" s="97" t="s">
        <v>212</v>
      </c>
      <c r="C275" s="95" t="s">
        <v>258</v>
      </c>
      <c r="D275" s="95" t="s">
        <v>103</v>
      </c>
      <c r="E275" s="47"/>
      <c r="F275" s="51">
        <f t="shared" si="120"/>
        <v>0</v>
      </c>
      <c r="G275" s="52"/>
      <c r="H275" s="52"/>
      <c r="I275" s="52"/>
      <c r="J275" s="57">
        <f t="shared" si="116"/>
        <v>0</v>
      </c>
      <c r="K275" s="52"/>
      <c r="L275" s="52"/>
      <c r="M275" s="52"/>
      <c r="N275" s="57">
        <f t="shared" si="117"/>
        <v>0</v>
      </c>
      <c r="O275" s="52"/>
      <c r="P275" s="52"/>
      <c r="Q275" s="52"/>
      <c r="R275" s="52">
        <f t="shared" si="118"/>
        <v>0</v>
      </c>
      <c r="S275" s="52">
        <f>3.32-3.32</f>
        <v>0</v>
      </c>
      <c r="T275" s="52"/>
      <c r="U275" s="52"/>
      <c r="V275" s="57">
        <f t="shared" si="119"/>
        <v>0</v>
      </c>
    </row>
    <row r="276" spans="1:22" s="36" customFormat="1" ht="18.75" customHeight="1">
      <c r="A276" s="98"/>
      <c r="B276" s="40" t="s">
        <v>163</v>
      </c>
      <c r="C276" s="40"/>
      <c r="D276" s="49"/>
      <c r="E276" s="47"/>
      <c r="F276" s="50">
        <f t="shared" si="120"/>
        <v>1158.81</v>
      </c>
      <c r="G276" s="54">
        <f aca="true" t="shared" si="121" ref="G276:I277">G277</f>
        <v>59.9</v>
      </c>
      <c r="H276" s="54">
        <f t="shared" si="121"/>
        <v>85.9</v>
      </c>
      <c r="I276" s="54">
        <f t="shared" si="121"/>
        <v>86</v>
      </c>
      <c r="J276" s="50">
        <f>SUM(G276:I276)</f>
        <v>231.8</v>
      </c>
      <c r="K276" s="54">
        <f aca="true" t="shared" si="122" ref="K276:M277">K277</f>
        <v>96.4</v>
      </c>
      <c r="L276" s="54">
        <f t="shared" si="122"/>
        <v>96.4</v>
      </c>
      <c r="M276" s="54">
        <f t="shared" si="122"/>
        <v>96.9</v>
      </c>
      <c r="N276" s="50">
        <f aca="true" t="shared" si="123" ref="N276:N284">SUM(K276:M276)</f>
        <v>289.70000000000005</v>
      </c>
      <c r="O276" s="54">
        <f aca="true" t="shared" si="124" ref="O276:Q277">O277</f>
        <v>96.4</v>
      </c>
      <c r="P276" s="54">
        <f t="shared" si="124"/>
        <v>96.4</v>
      </c>
      <c r="Q276" s="54">
        <f t="shared" si="124"/>
        <v>96.9</v>
      </c>
      <c r="R276" s="50">
        <f>SUM(O276:Q276)</f>
        <v>289.70000000000005</v>
      </c>
      <c r="S276" s="54">
        <f aca="true" t="shared" si="125" ref="S276:U277">S277</f>
        <v>115.8</v>
      </c>
      <c r="T276" s="54">
        <f t="shared" si="125"/>
        <v>115.9</v>
      </c>
      <c r="U276" s="54">
        <f t="shared" si="125"/>
        <v>115.91</v>
      </c>
      <c r="V276" s="50">
        <f>SUM(S276:U276)</f>
        <v>347.61</v>
      </c>
    </row>
    <row r="277" spans="1:22" s="36" customFormat="1" ht="78.75" customHeight="1">
      <c r="A277" s="98"/>
      <c r="B277" s="40" t="s">
        <v>311</v>
      </c>
      <c r="C277" s="103" t="s">
        <v>188</v>
      </c>
      <c r="D277" s="49"/>
      <c r="E277" s="47"/>
      <c r="F277" s="51">
        <f t="shared" si="120"/>
        <v>1158.81</v>
      </c>
      <c r="G277" s="52">
        <f t="shared" si="121"/>
        <v>59.9</v>
      </c>
      <c r="H277" s="52">
        <f t="shared" si="121"/>
        <v>85.9</v>
      </c>
      <c r="I277" s="52">
        <f t="shared" si="121"/>
        <v>86</v>
      </c>
      <c r="J277" s="51">
        <f>SUM(G277:I277)</f>
        <v>231.8</v>
      </c>
      <c r="K277" s="52">
        <f t="shared" si="122"/>
        <v>96.4</v>
      </c>
      <c r="L277" s="52">
        <f t="shared" si="122"/>
        <v>96.4</v>
      </c>
      <c r="M277" s="52">
        <f t="shared" si="122"/>
        <v>96.9</v>
      </c>
      <c r="N277" s="51">
        <f t="shared" si="123"/>
        <v>289.70000000000005</v>
      </c>
      <c r="O277" s="52">
        <f t="shared" si="124"/>
        <v>96.4</v>
      </c>
      <c r="P277" s="52">
        <f t="shared" si="124"/>
        <v>96.4</v>
      </c>
      <c r="Q277" s="52">
        <f t="shared" si="124"/>
        <v>96.9</v>
      </c>
      <c r="R277" s="51">
        <f>SUM(O277:Q277)</f>
        <v>289.70000000000005</v>
      </c>
      <c r="S277" s="52">
        <f t="shared" si="125"/>
        <v>115.8</v>
      </c>
      <c r="T277" s="52">
        <f t="shared" si="125"/>
        <v>115.9</v>
      </c>
      <c r="U277" s="52">
        <f t="shared" si="125"/>
        <v>115.91</v>
      </c>
      <c r="V277" s="51">
        <f>SUM(S277:U277)</f>
        <v>347.61</v>
      </c>
    </row>
    <row r="278" spans="1:22" s="36" customFormat="1" ht="41.25">
      <c r="A278" s="98"/>
      <c r="B278" s="41" t="s">
        <v>324</v>
      </c>
      <c r="C278" s="41">
        <v>110</v>
      </c>
      <c r="D278" s="99" t="s">
        <v>113</v>
      </c>
      <c r="E278" s="100"/>
      <c r="F278" s="57">
        <f t="shared" si="120"/>
        <v>1158.81</v>
      </c>
      <c r="G278" s="53">
        <f>G279+G281</f>
        <v>59.9</v>
      </c>
      <c r="H278" s="53">
        <f>H279+H281</f>
        <v>85.9</v>
      </c>
      <c r="I278" s="53">
        <f>I279+I281</f>
        <v>86</v>
      </c>
      <c r="J278" s="57">
        <f>SUM(G278:I278)</f>
        <v>231.8</v>
      </c>
      <c r="K278" s="53">
        <f>K279+K281</f>
        <v>96.4</v>
      </c>
      <c r="L278" s="53">
        <f>L279+L281</f>
        <v>96.4</v>
      </c>
      <c r="M278" s="53">
        <f>M279+M281</f>
        <v>96.9</v>
      </c>
      <c r="N278" s="57">
        <f t="shared" si="123"/>
        <v>289.70000000000005</v>
      </c>
      <c r="O278" s="53">
        <f>O279+O281</f>
        <v>96.4</v>
      </c>
      <c r="P278" s="53">
        <f>P279+P281</f>
        <v>96.4</v>
      </c>
      <c r="Q278" s="53">
        <f>Q279+Q281</f>
        <v>96.9</v>
      </c>
      <c r="R278" s="57">
        <f>SUM(O278:Q278)</f>
        <v>289.70000000000005</v>
      </c>
      <c r="S278" s="53">
        <f>S279+S281+S280</f>
        <v>115.8</v>
      </c>
      <c r="T278" s="53">
        <f>T279+T281+T280</f>
        <v>115.9</v>
      </c>
      <c r="U278" s="53">
        <f>U279+U281+U280</f>
        <v>115.91</v>
      </c>
      <c r="V278" s="57">
        <f>SUM(S278:U278)</f>
        <v>347.61</v>
      </c>
    </row>
    <row r="279" spans="1:22" s="36" customFormat="1" ht="12.75">
      <c r="A279" s="98"/>
      <c r="B279" s="39" t="s">
        <v>90</v>
      </c>
      <c r="C279" s="39">
        <v>111</v>
      </c>
      <c r="D279" s="49" t="s">
        <v>91</v>
      </c>
      <c r="E279" s="47"/>
      <c r="F279" s="51">
        <f t="shared" si="120"/>
        <v>890.01</v>
      </c>
      <c r="G279" s="52">
        <v>46</v>
      </c>
      <c r="H279" s="52">
        <v>66</v>
      </c>
      <c r="I279" s="52">
        <v>66</v>
      </c>
      <c r="J279" s="51">
        <f>G279+H279+I279</f>
        <v>178</v>
      </c>
      <c r="K279" s="52">
        <v>74</v>
      </c>
      <c r="L279" s="52">
        <v>74</v>
      </c>
      <c r="M279" s="52">
        <v>74.5</v>
      </c>
      <c r="N279" s="51">
        <f>K279+L279+M279</f>
        <v>222.5</v>
      </c>
      <c r="O279" s="52">
        <v>74</v>
      </c>
      <c r="P279" s="52">
        <v>74</v>
      </c>
      <c r="Q279" s="52">
        <v>74.5</v>
      </c>
      <c r="R279" s="51">
        <f>O279+P279+Q279</f>
        <v>222.5</v>
      </c>
      <c r="S279" s="52">
        <v>89</v>
      </c>
      <c r="T279" s="52">
        <v>89</v>
      </c>
      <c r="U279" s="52">
        <v>89.01</v>
      </c>
      <c r="V279" s="51">
        <f>S279+T279+U279</f>
        <v>267.01</v>
      </c>
    </row>
    <row r="280" spans="1:22" s="36" customFormat="1" ht="12.75" hidden="1">
      <c r="A280" s="98"/>
      <c r="B280" s="39" t="s">
        <v>92</v>
      </c>
      <c r="C280" s="39"/>
      <c r="D280" s="49" t="s">
        <v>93</v>
      </c>
      <c r="E280" s="47"/>
      <c r="F280" s="51">
        <f>V280</f>
        <v>0</v>
      </c>
      <c r="G280" s="52"/>
      <c r="H280" s="52"/>
      <c r="I280" s="52"/>
      <c r="J280" s="57">
        <f>SUM(G280:I280)</f>
        <v>0</v>
      </c>
      <c r="K280" s="52"/>
      <c r="L280" s="52"/>
      <c r="M280" s="52"/>
      <c r="N280" s="51">
        <f t="shared" si="123"/>
        <v>0</v>
      </c>
      <c r="O280" s="52"/>
      <c r="P280" s="52"/>
      <c r="Q280" s="52"/>
      <c r="R280" s="51">
        <f>SUM(O280:Q280)</f>
        <v>0</v>
      </c>
      <c r="S280" s="52"/>
      <c r="T280" s="52"/>
      <c r="U280" s="52"/>
      <c r="V280" s="51">
        <f>SUM(S280:U280)</f>
        <v>0</v>
      </c>
    </row>
    <row r="281" spans="1:22" s="36" customFormat="1" ht="12.75">
      <c r="A281" s="98"/>
      <c r="B281" s="39" t="s">
        <v>94</v>
      </c>
      <c r="C281" s="39">
        <v>111</v>
      </c>
      <c r="D281" s="49" t="s">
        <v>95</v>
      </c>
      <c r="E281" s="47"/>
      <c r="F281" s="51">
        <f>J281+N281+R281+V281</f>
        <v>268.79999999999995</v>
      </c>
      <c r="G281" s="52">
        <v>13.9</v>
      </c>
      <c r="H281" s="52">
        <v>19.9</v>
      </c>
      <c r="I281" s="52">
        <v>20</v>
      </c>
      <c r="J281" s="51">
        <f>G281+H281+I281</f>
        <v>53.8</v>
      </c>
      <c r="K281" s="52">
        <v>22.4</v>
      </c>
      <c r="L281" s="52">
        <v>22.4</v>
      </c>
      <c r="M281" s="52">
        <v>22.4</v>
      </c>
      <c r="N281" s="51">
        <f>K281+L281+M281</f>
        <v>67.19999999999999</v>
      </c>
      <c r="O281" s="52">
        <v>22.4</v>
      </c>
      <c r="P281" s="52">
        <v>22.4</v>
      </c>
      <c r="Q281" s="52">
        <v>22.4</v>
      </c>
      <c r="R281" s="51">
        <f>O281+P281+Q281</f>
        <v>67.19999999999999</v>
      </c>
      <c r="S281" s="52">
        <v>26.8</v>
      </c>
      <c r="T281" s="52">
        <v>26.9</v>
      </c>
      <c r="U281" s="52">
        <v>26.9</v>
      </c>
      <c r="V281" s="51">
        <f>S281+T281+U281</f>
        <v>80.6</v>
      </c>
    </row>
    <row r="282" spans="1:22" s="36" customFormat="1" ht="17.25" customHeight="1">
      <c r="A282" s="98"/>
      <c r="B282" s="40" t="s">
        <v>220</v>
      </c>
      <c r="C282" s="103" t="s">
        <v>188</v>
      </c>
      <c r="D282" s="49"/>
      <c r="E282" s="47"/>
      <c r="F282" s="124">
        <f>J282+N282+R282+V282</f>
        <v>250</v>
      </c>
      <c r="G282" s="70">
        <f aca="true" t="shared" si="126" ref="G282:I283">G283</f>
        <v>0</v>
      </c>
      <c r="H282" s="58">
        <f t="shared" si="126"/>
        <v>20</v>
      </c>
      <c r="I282" s="58">
        <f t="shared" si="126"/>
        <v>30</v>
      </c>
      <c r="J282" s="124">
        <f>SUM(G282:I282)</f>
        <v>50</v>
      </c>
      <c r="K282" s="70">
        <f aca="true" t="shared" si="127" ref="K282:M283">K283</f>
        <v>0</v>
      </c>
      <c r="L282" s="58">
        <f t="shared" si="127"/>
        <v>20</v>
      </c>
      <c r="M282" s="58">
        <f t="shared" si="127"/>
        <v>30</v>
      </c>
      <c r="N282" s="124">
        <f t="shared" si="123"/>
        <v>50</v>
      </c>
      <c r="O282" s="58">
        <f aca="true" t="shared" si="128" ref="O282:Q283">O283</f>
        <v>30</v>
      </c>
      <c r="P282" s="58">
        <f t="shared" si="128"/>
        <v>30</v>
      </c>
      <c r="Q282" s="58">
        <f t="shared" si="128"/>
        <v>40</v>
      </c>
      <c r="R282" s="124">
        <f aca="true" t="shared" si="129" ref="R282:R290">SUM(O282:Q282)</f>
        <v>100</v>
      </c>
      <c r="S282" s="58">
        <f aca="true" t="shared" si="130" ref="S282:U283">S283</f>
        <v>10</v>
      </c>
      <c r="T282" s="58">
        <f t="shared" si="130"/>
        <v>20</v>
      </c>
      <c r="U282" s="58">
        <f t="shared" si="130"/>
        <v>20</v>
      </c>
      <c r="V282" s="124">
        <f aca="true" t="shared" si="131" ref="V282:V290">SUM(S282:U282)</f>
        <v>50</v>
      </c>
    </row>
    <row r="283" spans="1:22" s="36" customFormat="1" ht="41.25">
      <c r="A283" s="98"/>
      <c r="B283" s="40" t="s">
        <v>221</v>
      </c>
      <c r="C283" s="40">
        <v>200</v>
      </c>
      <c r="D283" s="101"/>
      <c r="E283" s="88"/>
      <c r="F283" s="57">
        <f>J283+N283+R283+V283</f>
        <v>250</v>
      </c>
      <c r="G283" s="67">
        <f t="shared" si="126"/>
        <v>0</v>
      </c>
      <c r="H283" s="57">
        <f t="shared" si="126"/>
        <v>20</v>
      </c>
      <c r="I283" s="57">
        <f t="shared" si="126"/>
        <v>30</v>
      </c>
      <c r="J283" s="57">
        <f>SUM(G283:I283)</f>
        <v>50</v>
      </c>
      <c r="K283" s="67">
        <f t="shared" si="127"/>
        <v>0</v>
      </c>
      <c r="L283" s="57">
        <f t="shared" si="127"/>
        <v>20</v>
      </c>
      <c r="M283" s="57">
        <f t="shared" si="127"/>
        <v>30</v>
      </c>
      <c r="N283" s="57">
        <f t="shared" si="123"/>
        <v>50</v>
      </c>
      <c r="O283" s="57">
        <f t="shared" si="128"/>
        <v>30</v>
      </c>
      <c r="P283" s="57">
        <f t="shared" si="128"/>
        <v>30</v>
      </c>
      <c r="Q283" s="57">
        <f t="shared" si="128"/>
        <v>40</v>
      </c>
      <c r="R283" s="57">
        <f t="shared" si="129"/>
        <v>100</v>
      </c>
      <c r="S283" s="57">
        <f t="shared" si="130"/>
        <v>10</v>
      </c>
      <c r="T283" s="57">
        <f t="shared" si="130"/>
        <v>20</v>
      </c>
      <c r="U283" s="57">
        <f t="shared" si="130"/>
        <v>20</v>
      </c>
      <c r="V283" s="57">
        <f t="shared" si="131"/>
        <v>50</v>
      </c>
    </row>
    <row r="284" spans="1:22" s="36" customFormat="1" ht="12.75">
      <c r="A284" s="98"/>
      <c r="B284" s="39" t="s">
        <v>212</v>
      </c>
      <c r="C284" s="39">
        <v>244</v>
      </c>
      <c r="D284" s="49" t="s">
        <v>103</v>
      </c>
      <c r="E284" s="47"/>
      <c r="F284" s="51">
        <f>J284+N284+R284+V284</f>
        <v>250</v>
      </c>
      <c r="G284" s="61">
        <f>10-10</f>
        <v>0</v>
      </c>
      <c r="H284" s="52">
        <v>20</v>
      </c>
      <c r="I284" s="52">
        <f>20+10</f>
        <v>30</v>
      </c>
      <c r="J284" s="51">
        <f>SUM(G284:I284)</f>
        <v>50</v>
      </c>
      <c r="K284" s="61">
        <f>10-10</f>
        <v>0</v>
      </c>
      <c r="L284" s="52">
        <v>20</v>
      </c>
      <c r="M284" s="52">
        <f>20+10</f>
        <v>30</v>
      </c>
      <c r="N284" s="51">
        <f t="shared" si="123"/>
        <v>50</v>
      </c>
      <c r="O284" s="52">
        <v>30</v>
      </c>
      <c r="P284" s="52">
        <v>30</v>
      </c>
      <c r="Q284" s="52">
        <v>40</v>
      </c>
      <c r="R284" s="51">
        <f t="shared" si="129"/>
        <v>100</v>
      </c>
      <c r="S284" s="52">
        <v>10</v>
      </c>
      <c r="T284" s="52">
        <v>20</v>
      </c>
      <c r="U284" s="52">
        <v>20</v>
      </c>
      <c r="V284" s="51">
        <f t="shared" si="131"/>
        <v>50</v>
      </c>
    </row>
    <row r="285" spans="1:22" s="36" customFormat="1" ht="26.25" customHeight="1">
      <c r="A285" s="98"/>
      <c r="B285" s="40" t="s">
        <v>132</v>
      </c>
      <c r="C285" s="40"/>
      <c r="D285" s="101"/>
      <c r="E285" s="88"/>
      <c r="F285" s="50">
        <f aca="true" t="shared" si="132" ref="F285:F298">J285+N285+R285+V285</f>
        <v>168</v>
      </c>
      <c r="G285" s="50">
        <f aca="true" t="shared" si="133" ref="G285:I286">G286</f>
        <v>14</v>
      </c>
      <c r="H285" s="50">
        <f t="shared" si="133"/>
        <v>14</v>
      </c>
      <c r="I285" s="50">
        <f t="shared" si="133"/>
        <v>14</v>
      </c>
      <c r="J285" s="50">
        <f aca="true" t="shared" si="134" ref="J285:J298">SUM(G285:I285)</f>
        <v>42</v>
      </c>
      <c r="K285" s="64">
        <f aca="true" t="shared" si="135" ref="K285:M286">K286</f>
        <v>0</v>
      </c>
      <c r="L285" s="50">
        <f t="shared" si="135"/>
        <v>11</v>
      </c>
      <c r="M285" s="50">
        <f t="shared" si="135"/>
        <v>21</v>
      </c>
      <c r="N285" s="50">
        <f aca="true" t="shared" si="136" ref="N285:N311">SUM(K285:M285)</f>
        <v>32</v>
      </c>
      <c r="O285" s="50">
        <f aca="true" t="shared" si="137" ref="O285:Q286">O286</f>
        <v>17</v>
      </c>
      <c r="P285" s="50">
        <f t="shared" si="137"/>
        <v>17</v>
      </c>
      <c r="Q285" s="50">
        <f t="shared" si="137"/>
        <v>18</v>
      </c>
      <c r="R285" s="50">
        <f t="shared" si="129"/>
        <v>52</v>
      </c>
      <c r="S285" s="50">
        <f aca="true" t="shared" si="138" ref="S285:U286">S286</f>
        <v>14</v>
      </c>
      <c r="T285" s="50">
        <f t="shared" si="138"/>
        <v>14</v>
      </c>
      <c r="U285" s="50">
        <f t="shared" si="138"/>
        <v>14</v>
      </c>
      <c r="V285" s="50">
        <f t="shared" si="131"/>
        <v>42</v>
      </c>
    </row>
    <row r="286" spans="1:22" s="36" customFormat="1" ht="38.25" customHeight="1">
      <c r="A286" s="98"/>
      <c r="B286" s="40" t="s">
        <v>317</v>
      </c>
      <c r="C286" s="39"/>
      <c r="D286" s="99"/>
      <c r="E286" s="100"/>
      <c r="F286" s="57">
        <f>J286+N286+R286+V286</f>
        <v>168</v>
      </c>
      <c r="G286" s="53">
        <f>G287</f>
        <v>14</v>
      </c>
      <c r="H286" s="53">
        <f t="shared" si="133"/>
        <v>14</v>
      </c>
      <c r="I286" s="53">
        <f t="shared" si="133"/>
        <v>14</v>
      </c>
      <c r="J286" s="57">
        <f t="shared" si="134"/>
        <v>42</v>
      </c>
      <c r="K286" s="65">
        <f t="shared" si="135"/>
        <v>0</v>
      </c>
      <c r="L286" s="53">
        <f t="shared" si="135"/>
        <v>11</v>
      </c>
      <c r="M286" s="53">
        <f t="shared" si="135"/>
        <v>21</v>
      </c>
      <c r="N286" s="57">
        <f t="shared" si="136"/>
        <v>32</v>
      </c>
      <c r="O286" s="53">
        <f t="shared" si="137"/>
        <v>17</v>
      </c>
      <c r="P286" s="53">
        <f t="shared" si="137"/>
        <v>17</v>
      </c>
      <c r="Q286" s="53">
        <f t="shared" si="137"/>
        <v>18</v>
      </c>
      <c r="R286" s="57">
        <f t="shared" si="129"/>
        <v>52</v>
      </c>
      <c r="S286" s="53">
        <f t="shared" si="138"/>
        <v>14</v>
      </c>
      <c r="T286" s="53">
        <f t="shared" si="138"/>
        <v>14</v>
      </c>
      <c r="U286" s="53">
        <f t="shared" si="138"/>
        <v>14</v>
      </c>
      <c r="V286" s="57">
        <f t="shared" si="131"/>
        <v>42</v>
      </c>
    </row>
    <row r="287" spans="1:22" s="36" customFormat="1" ht="41.25">
      <c r="A287" s="98"/>
      <c r="B287" s="41" t="s">
        <v>325</v>
      </c>
      <c r="C287" s="104">
        <v>240</v>
      </c>
      <c r="D287" s="99"/>
      <c r="E287" s="100"/>
      <c r="F287" s="57">
        <f>J287+N287+R287+V287</f>
        <v>168</v>
      </c>
      <c r="G287" s="53">
        <f>G289+G291+G290+G288</f>
        <v>14</v>
      </c>
      <c r="H287" s="53">
        <f>H289+H291+H290+H288</f>
        <v>14</v>
      </c>
      <c r="I287" s="53">
        <f>I289+I291+I290+I288</f>
        <v>14</v>
      </c>
      <c r="J287" s="57">
        <f>SUM(G287:I287)</f>
        <v>42</v>
      </c>
      <c r="K287" s="65">
        <f>K289+K291+K290+K288</f>
        <v>0</v>
      </c>
      <c r="L287" s="53">
        <f>L289+L291+L290+L288</f>
        <v>11</v>
      </c>
      <c r="M287" s="53">
        <f>M289+M291+M290+M288</f>
        <v>21</v>
      </c>
      <c r="N287" s="57">
        <f>SUM(K287:M287)</f>
        <v>32</v>
      </c>
      <c r="O287" s="53">
        <f>O289+O291+O290+O288</f>
        <v>17</v>
      </c>
      <c r="P287" s="53">
        <f>P289+P291+P290+P288</f>
        <v>17</v>
      </c>
      <c r="Q287" s="53">
        <f>Q289+Q291+Q290+Q288</f>
        <v>18</v>
      </c>
      <c r="R287" s="57">
        <f t="shared" si="129"/>
        <v>52</v>
      </c>
      <c r="S287" s="53">
        <f>S289+S291+S290+S288</f>
        <v>14</v>
      </c>
      <c r="T287" s="53">
        <f>T289+T291+T290+T288</f>
        <v>14</v>
      </c>
      <c r="U287" s="53">
        <f>U289+U291+U290+U288</f>
        <v>14</v>
      </c>
      <c r="V287" s="57">
        <f t="shared" si="131"/>
        <v>42</v>
      </c>
    </row>
    <row r="288" spans="1:22" s="36" customFormat="1" ht="12.75" hidden="1">
      <c r="A288" s="98"/>
      <c r="B288" s="41"/>
      <c r="C288" s="39">
        <v>244</v>
      </c>
      <c r="D288" s="99" t="s">
        <v>99</v>
      </c>
      <c r="E288" s="100"/>
      <c r="F288" s="51">
        <f>J288+N288+R288+V288</f>
        <v>0</v>
      </c>
      <c r="G288" s="52"/>
      <c r="H288" s="52"/>
      <c r="I288" s="52"/>
      <c r="J288" s="57">
        <f>SUM(G288:I288)</f>
        <v>0</v>
      </c>
      <c r="K288" s="61"/>
      <c r="L288" s="52"/>
      <c r="M288" s="52"/>
      <c r="N288" s="51">
        <f>SUM(K288:M288)</f>
        <v>0</v>
      </c>
      <c r="O288" s="52"/>
      <c r="P288" s="52"/>
      <c r="Q288" s="52"/>
      <c r="R288" s="51">
        <f>SUM(O288:Q288)</f>
        <v>0</v>
      </c>
      <c r="S288" s="52"/>
      <c r="T288" s="52"/>
      <c r="U288" s="52"/>
      <c r="V288" s="51">
        <f>SUM(S288:U288)</f>
        <v>0</v>
      </c>
    </row>
    <row r="289" spans="1:22" s="36" customFormat="1" ht="12.75">
      <c r="A289" s="98"/>
      <c r="B289" s="39" t="s">
        <v>133</v>
      </c>
      <c r="C289" s="39">
        <v>244</v>
      </c>
      <c r="D289" s="49" t="s">
        <v>107</v>
      </c>
      <c r="E289" s="47"/>
      <c r="F289" s="51">
        <f t="shared" si="132"/>
        <v>168</v>
      </c>
      <c r="G289" s="52">
        <v>14</v>
      </c>
      <c r="H289" s="52">
        <v>14</v>
      </c>
      <c r="I289" s="52">
        <v>14</v>
      </c>
      <c r="J289" s="51">
        <f t="shared" si="134"/>
        <v>42</v>
      </c>
      <c r="K289" s="61">
        <f>10-10</f>
        <v>0</v>
      </c>
      <c r="L289" s="52">
        <v>11</v>
      </c>
      <c r="M289" s="52">
        <f>11+10</f>
        <v>21</v>
      </c>
      <c r="N289" s="51">
        <f t="shared" si="136"/>
        <v>32</v>
      </c>
      <c r="O289" s="52">
        <v>17</v>
      </c>
      <c r="P289" s="52">
        <v>17</v>
      </c>
      <c r="Q289" s="52">
        <v>18</v>
      </c>
      <c r="R289" s="51">
        <f t="shared" si="129"/>
        <v>52</v>
      </c>
      <c r="S289" s="52">
        <v>14</v>
      </c>
      <c r="T289" s="52">
        <v>14</v>
      </c>
      <c r="U289" s="52">
        <v>14</v>
      </c>
      <c r="V289" s="51">
        <f t="shared" si="131"/>
        <v>42</v>
      </c>
    </row>
    <row r="290" spans="1:22" s="36" customFormat="1" ht="12.75" hidden="1">
      <c r="A290" s="98"/>
      <c r="B290" s="39" t="s">
        <v>249</v>
      </c>
      <c r="C290" s="39">
        <v>244</v>
      </c>
      <c r="D290" s="49" t="s">
        <v>109</v>
      </c>
      <c r="E290" s="47"/>
      <c r="F290" s="51">
        <f t="shared" si="132"/>
        <v>0</v>
      </c>
      <c r="G290" s="52"/>
      <c r="H290" s="52"/>
      <c r="I290" s="52"/>
      <c r="J290" s="57">
        <f t="shared" si="134"/>
        <v>0</v>
      </c>
      <c r="K290" s="52"/>
      <c r="L290" s="52"/>
      <c r="M290" s="52"/>
      <c r="N290" s="51">
        <f t="shared" si="136"/>
        <v>0</v>
      </c>
      <c r="O290" s="52"/>
      <c r="P290" s="52"/>
      <c r="Q290" s="52"/>
      <c r="R290" s="51">
        <f t="shared" si="129"/>
        <v>0</v>
      </c>
      <c r="S290" s="52"/>
      <c r="T290" s="52"/>
      <c r="U290" s="52"/>
      <c r="V290" s="51">
        <f t="shared" si="131"/>
        <v>0</v>
      </c>
    </row>
    <row r="291" spans="1:22" s="36" customFormat="1" ht="15" customHeight="1" hidden="1">
      <c r="A291" s="98"/>
      <c r="B291" s="39" t="s">
        <v>110</v>
      </c>
      <c r="C291" s="39">
        <v>244</v>
      </c>
      <c r="D291" s="49" t="s">
        <v>111</v>
      </c>
      <c r="E291" s="47"/>
      <c r="F291" s="51">
        <f>J291+N291+R291+V291</f>
        <v>0</v>
      </c>
      <c r="G291" s="52"/>
      <c r="H291" s="52"/>
      <c r="I291" s="52"/>
      <c r="J291" s="57">
        <f>SUM(G291:I291)</f>
        <v>0</v>
      </c>
      <c r="K291" s="52"/>
      <c r="L291" s="52"/>
      <c r="M291" s="52"/>
      <c r="N291" s="51">
        <f>SUM(K291:M291)</f>
        <v>0</v>
      </c>
      <c r="O291" s="52"/>
      <c r="P291" s="52"/>
      <c r="Q291" s="52"/>
      <c r="R291" s="51">
        <f>SUM(O291:Q291)</f>
        <v>0</v>
      </c>
      <c r="S291" s="52"/>
      <c r="T291" s="52"/>
      <c r="U291" s="52"/>
      <c r="V291" s="51">
        <f>SUM(S291:U291)</f>
        <v>0</v>
      </c>
    </row>
    <row r="292" spans="1:22" s="36" customFormat="1" ht="34.5" customHeight="1">
      <c r="A292" s="98"/>
      <c r="B292" s="40" t="s">
        <v>318</v>
      </c>
      <c r="C292" s="40"/>
      <c r="D292" s="101"/>
      <c r="E292" s="88"/>
      <c r="F292" s="50">
        <f>J292+N292+R292+V292</f>
        <v>17063.59</v>
      </c>
      <c r="G292" s="50">
        <f>G293+G295+G297+G309+G331+G299+G302+G350+G354+G307+G328+G348</f>
        <v>1242.3999999999999</v>
      </c>
      <c r="H292" s="50">
        <f>H293+H295+H297+H309+H331+H299+H302+H350+H354+H307+H328+H348</f>
        <v>1327.2</v>
      </c>
      <c r="I292" s="50">
        <f>I293+I295+I297+I309+I331+I299+I302+I350+I354+I307+I328+I348</f>
        <v>1385.1299999999999</v>
      </c>
      <c r="J292" s="50">
        <f t="shared" si="134"/>
        <v>3954.7299999999996</v>
      </c>
      <c r="K292" s="50">
        <f>K293+K295+K297+K309+K331+K299+K302+K350+K354+K307+K328+K348</f>
        <v>1096.3</v>
      </c>
      <c r="L292" s="50">
        <f>L293+L295+L297+L309+L331+L299+L302+L350+L354+L307+L328+L348</f>
        <v>1403</v>
      </c>
      <c r="M292" s="50">
        <f>M293+M295+M297+M309+M331+M299+M302+M350+M354+M307+M328+M348</f>
        <v>1709.1999999999998</v>
      </c>
      <c r="N292" s="50">
        <f t="shared" si="136"/>
        <v>4208.5</v>
      </c>
      <c r="O292" s="50">
        <f>O293+O295+O297+O309+O331+O299+O302+O350+O354+O307+O328+O348</f>
        <v>1327.8999999999999</v>
      </c>
      <c r="P292" s="50">
        <f>P293+P295+P297+P309+P331+P299+P302+P350+P354+P307+P328+P348</f>
        <v>1334.5</v>
      </c>
      <c r="Q292" s="50">
        <f>Q293+Q295+Q297+Q309+Q331+Q299+Q302+Q350+Q354+Q307+Q328+Q348</f>
        <v>1340.6</v>
      </c>
      <c r="R292" s="50">
        <f>SUM(O292:Q292)</f>
        <v>4002.9999999999995</v>
      </c>
      <c r="S292" s="50">
        <f>S293+S295+S297+S309+S331+S299+S302+S350+S354+S307+S328+S348</f>
        <v>1625.1200000000001</v>
      </c>
      <c r="T292" s="50">
        <f>T293+T295+T297+T309+T331+T299+T302+T350+T354+T307+T328+T348</f>
        <v>1633.7</v>
      </c>
      <c r="U292" s="50">
        <f>U293+U295+U297+U309+U331+U299+U302+U350+U354+U307+U328+U348</f>
        <v>1638.54</v>
      </c>
      <c r="V292" s="50">
        <f>SUM(S292:U292)</f>
        <v>4897.360000000001</v>
      </c>
    </row>
    <row r="293" spans="1:22" s="36" customFormat="1" ht="45" customHeight="1" hidden="1">
      <c r="A293" s="98"/>
      <c r="B293" s="41" t="s">
        <v>197</v>
      </c>
      <c r="C293" s="41">
        <v>240</v>
      </c>
      <c r="D293" s="105"/>
      <c r="E293" s="106"/>
      <c r="F293" s="51">
        <f t="shared" si="132"/>
        <v>0</v>
      </c>
      <c r="G293" s="52">
        <f>G294</f>
        <v>0</v>
      </c>
      <c r="H293" s="52">
        <f>H294</f>
        <v>0</v>
      </c>
      <c r="I293" s="52">
        <f>I294</f>
        <v>0</v>
      </c>
      <c r="J293" s="51">
        <f>SUM(G293:I293)</f>
        <v>0</v>
      </c>
      <c r="K293" s="52">
        <f>K294</f>
        <v>0</v>
      </c>
      <c r="L293" s="52">
        <f>L294</f>
        <v>0</v>
      </c>
      <c r="M293" s="52">
        <f>M294</f>
        <v>0</v>
      </c>
      <c r="N293" s="51">
        <f t="shared" si="136"/>
        <v>0</v>
      </c>
      <c r="O293" s="52">
        <f>O294</f>
        <v>0</v>
      </c>
      <c r="P293" s="52">
        <f>P294</f>
        <v>0</v>
      </c>
      <c r="Q293" s="52">
        <f>Q294</f>
        <v>0</v>
      </c>
      <c r="R293" s="51">
        <f aca="true" t="shared" si="139" ref="R293:R298">SUM(O293:Q293)</f>
        <v>0</v>
      </c>
      <c r="S293" s="52">
        <f>S294</f>
        <v>0</v>
      </c>
      <c r="T293" s="52">
        <f>T294</f>
        <v>0</v>
      </c>
      <c r="U293" s="52">
        <f>U294</f>
        <v>0</v>
      </c>
      <c r="V293" s="51">
        <f aca="true" t="shared" si="140" ref="V293:V298">SUM(S293:U293)</f>
        <v>0</v>
      </c>
    </row>
    <row r="294" spans="1:22" s="36" customFormat="1" ht="24.75" customHeight="1" hidden="1">
      <c r="A294" s="98"/>
      <c r="B294" s="39" t="s">
        <v>198</v>
      </c>
      <c r="C294" s="39">
        <v>244</v>
      </c>
      <c r="D294" s="49" t="s">
        <v>109</v>
      </c>
      <c r="E294" s="88"/>
      <c r="F294" s="52">
        <f t="shared" si="132"/>
        <v>0</v>
      </c>
      <c r="G294" s="52"/>
      <c r="H294" s="52"/>
      <c r="I294" s="52"/>
      <c r="J294" s="51">
        <f t="shared" si="134"/>
        <v>0</v>
      </c>
      <c r="K294" s="52"/>
      <c r="L294" s="52"/>
      <c r="M294" s="52">
        <f>30-30</f>
        <v>0</v>
      </c>
      <c r="N294" s="51">
        <f t="shared" si="136"/>
        <v>0</v>
      </c>
      <c r="O294" s="52"/>
      <c r="P294" s="52"/>
      <c r="Q294" s="52"/>
      <c r="R294" s="51">
        <f t="shared" si="139"/>
        <v>0</v>
      </c>
      <c r="S294" s="52">
        <f>30-30</f>
        <v>0</v>
      </c>
      <c r="T294" s="52"/>
      <c r="U294" s="52"/>
      <c r="V294" s="51">
        <f t="shared" si="140"/>
        <v>0</v>
      </c>
    </row>
    <row r="295" spans="1:22" s="36" customFormat="1" ht="20.25" customHeight="1" hidden="1">
      <c r="A295" s="98"/>
      <c r="B295" s="41" t="s">
        <v>199</v>
      </c>
      <c r="C295" s="41">
        <v>240</v>
      </c>
      <c r="D295" s="99"/>
      <c r="E295" s="88"/>
      <c r="F295" s="51">
        <f t="shared" si="132"/>
        <v>0</v>
      </c>
      <c r="G295" s="52">
        <f>G296</f>
        <v>0</v>
      </c>
      <c r="H295" s="52">
        <f>H296</f>
        <v>0</v>
      </c>
      <c r="I295" s="52">
        <f>I296</f>
        <v>0</v>
      </c>
      <c r="J295" s="51">
        <f t="shared" si="134"/>
        <v>0</v>
      </c>
      <c r="K295" s="52">
        <f>K296</f>
        <v>0</v>
      </c>
      <c r="L295" s="52">
        <f>L296</f>
        <v>0</v>
      </c>
      <c r="M295" s="52">
        <f>M296</f>
        <v>0</v>
      </c>
      <c r="N295" s="51">
        <f t="shared" si="136"/>
        <v>0</v>
      </c>
      <c r="O295" s="52">
        <f>O296</f>
        <v>0</v>
      </c>
      <c r="P295" s="52">
        <f>P296</f>
        <v>0</v>
      </c>
      <c r="Q295" s="52">
        <f>Q296</f>
        <v>0</v>
      </c>
      <c r="R295" s="51">
        <f t="shared" si="139"/>
        <v>0</v>
      </c>
      <c r="S295" s="52">
        <f>S296</f>
        <v>0</v>
      </c>
      <c r="T295" s="52">
        <f>T296</f>
        <v>0</v>
      </c>
      <c r="U295" s="52">
        <f>U296</f>
        <v>0</v>
      </c>
      <c r="V295" s="51">
        <f t="shared" si="140"/>
        <v>0</v>
      </c>
    </row>
    <row r="296" spans="1:22" s="36" customFormat="1" ht="24.75" customHeight="1" hidden="1">
      <c r="A296" s="98"/>
      <c r="B296" s="39" t="s">
        <v>198</v>
      </c>
      <c r="C296" s="39">
        <v>244</v>
      </c>
      <c r="D296" s="49" t="s">
        <v>109</v>
      </c>
      <c r="E296" s="88"/>
      <c r="F296" s="52">
        <f t="shared" si="132"/>
        <v>0</v>
      </c>
      <c r="G296" s="52"/>
      <c r="H296" s="52"/>
      <c r="I296" s="52"/>
      <c r="J296" s="51">
        <f t="shared" si="134"/>
        <v>0</v>
      </c>
      <c r="K296" s="52"/>
      <c r="L296" s="52"/>
      <c r="M296" s="52">
        <f>20-20</f>
        <v>0</v>
      </c>
      <c r="N296" s="51">
        <f t="shared" si="136"/>
        <v>0</v>
      </c>
      <c r="O296" s="52"/>
      <c r="P296" s="52"/>
      <c r="Q296" s="52"/>
      <c r="R296" s="51">
        <f t="shared" si="139"/>
        <v>0</v>
      </c>
      <c r="S296" s="52">
        <f>20-20</f>
        <v>0</v>
      </c>
      <c r="T296" s="52"/>
      <c r="U296" s="52"/>
      <c r="V296" s="51">
        <f t="shared" si="140"/>
        <v>0</v>
      </c>
    </row>
    <row r="297" spans="1:22" s="36" customFormat="1" ht="31.5" customHeight="1" hidden="1">
      <c r="A297" s="98"/>
      <c r="B297" s="41" t="s">
        <v>200</v>
      </c>
      <c r="C297" s="41">
        <v>240</v>
      </c>
      <c r="D297" s="101"/>
      <c r="E297" s="88"/>
      <c r="F297" s="51">
        <f t="shared" si="132"/>
        <v>0</v>
      </c>
      <c r="G297" s="52">
        <f>G298</f>
        <v>0</v>
      </c>
      <c r="H297" s="52">
        <f>H298</f>
        <v>0</v>
      </c>
      <c r="I297" s="52">
        <f>I298</f>
        <v>0</v>
      </c>
      <c r="J297" s="51">
        <f t="shared" si="134"/>
        <v>0</v>
      </c>
      <c r="K297" s="52">
        <f>K298</f>
        <v>0</v>
      </c>
      <c r="L297" s="52">
        <f>L298</f>
        <v>0</v>
      </c>
      <c r="M297" s="52">
        <f>M298</f>
        <v>0</v>
      </c>
      <c r="N297" s="51">
        <f t="shared" si="136"/>
        <v>0</v>
      </c>
      <c r="O297" s="52">
        <f>O298</f>
        <v>0</v>
      </c>
      <c r="P297" s="52">
        <f>P298</f>
        <v>0</v>
      </c>
      <c r="Q297" s="52">
        <f>Q298</f>
        <v>0</v>
      </c>
      <c r="R297" s="51">
        <f t="shared" si="139"/>
        <v>0</v>
      </c>
      <c r="S297" s="52">
        <f>S298</f>
        <v>0</v>
      </c>
      <c r="T297" s="52">
        <f>T298</f>
        <v>0</v>
      </c>
      <c r="U297" s="52">
        <f>U298</f>
        <v>0</v>
      </c>
      <c r="V297" s="51">
        <f t="shared" si="140"/>
        <v>0</v>
      </c>
    </row>
    <row r="298" spans="1:22" s="36" customFormat="1" ht="12.75" customHeight="1" hidden="1">
      <c r="A298" s="98"/>
      <c r="B298" s="39" t="s">
        <v>201</v>
      </c>
      <c r="C298" s="39">
        <v>244</v>
      </c>
      <c r="D298" s="49" t="s">
        <v>103</v>
      </c>
      <c r="E298" s="88"/>
      <c r="F298" s="52">
        <f t="shared" si="132"/>
        <v>0</v>
      </c>
      <c r="G298" s="52"/>
      <c r="H298" s="52"/>
      <c r="I298" s="52"/>
      <c r="J298" s="51">
        <f t="shared" si="134"/>
        <v>0</v>
      </c>
      <c r="K298" s="52"/>
      <c r="L298" s="52"/>
      <c r="M298" s="52"/>
      <c r="N298" s="51">
        <f t="shared" si="136"/>
        <v>0</v>
      </c>
      <c r="O298" s="52"/>
      <c r="P298" s="52"/>
      <c r="Q298" s="52"/>
      <c r="R298" s="51">
        <f t="shared" si="139"/>
        <v>0</v>
      </c>
      <c r="S298" s="52"/>
      <c r="T298" s="52"/>
      <c r="U298" s="52"/>
      <c r="V298" s="51">
        <f t="shared" si="140"/>
        <v>0</v>
      </c>
    </row>
    <row r="299" spans="1:22" s="36" customFormat="1" ht="23.25" customHeight="1" hidden="1">
      <c r="A299" s="98"/>
      <c r="B299" s="41" t="s">
        <v>216</v>
      </c>
      <c r="C299" s="41">
        <v>240</v>
      </c>
      <c r="D299" s="101"/>
      <c r="E299" s="88"/>
      <c r="F299" s="51">
        <f>J299+N299+R299+V299</f>
        <v>0</v>
      </c>
      <c r="G299" s="52">
        <f>G300+G301</f>
        <v>0</v>
      </c>
      <c r="H299" s="52">
        <f>H300+H301</f>
        <v>0</v>
      </c>
      <c r="I299" s="52">
        <f>I300+I301</f>
        <v>0</v>
      </c>
      <c r="J299" s="51">
        <f aca="true" t="shared" si="141" ref="J299:J306">SUM(G299:I299)</f>
        <v>0</v>
      </c>
      <c r="K299" s="52">
        <f>K300+K301</f>
        <v>0</v>
      </c>
      <c r="L299" s="52">
        <f>L300+L301</f>
        <v>0</v>
      </c>
      <c r="M299" s="52">
        <f>M300+M301</f>
        <v>0</v>
      </c>
      <c r="N299" s="51">
        <f aca="true" t="shared" si="142" ref="N299:N306">SUM(K299:M299)</f>
        <v>0</v>
      </c>
      <c r="O299" s="52">
        <f>O300+O301</f>
        <v>0</v>
      </c>
      <c r="P299" s="52">
        <f>P300+P301</f>
        <v>0</v>
      </c>
      <c r="Q299" s="52">
        <f>Q300+Q301</f>
        <v>0</v>
      </c>
      <c r="R299" s="51">
        <f aca="true" t="shared" si="143" ref="R299:R306">SUM(O299:Q299)</f>
        <v>0</v>
      </c>
      <c r="S299" s="52">
        <f>S300+S301</f>
        <v>0</v>
      </c>
      <c r="T299" s="52">
        <f>T300+T301</f>
        <v>0</v>
      </c>
      <c r="U299" s="52">
        <f>U300+U301</f>
        <v>0</v>
      </c>
      <c r="V299" s="51">
        <f aca="true" t="shared" si="144" ref="V299:V306">SUM(S299:U299)</f>
        <v>0</v>
      </c>
    </row>
    <row r="300" spans="1:22" s="36" customFormat="1" ht="12.75" customHeight="1" hidden="1">
      <c r="A300" s="98"/>
      <c r="B300" s="39" t="s">
        <v>201</v>
      </c>
      <c r="C300" s="39">
        <v>244</v>
      </c>
      <c r="D300" s="49" t="s">
        <v>103</v>
      </c>
      <c r="E300" s="88"/>
      <c r="F300" s="52">
        <f aca="true" t="shared" si="145" ref="F300:F311">J300+N300+R300+V300</f>
        <v>0</v>
      </c>
      <c r="G300" s="52">
        <v>0</v>
      </c>
      <c r="H300" s="52">
        <v>0</v>
      </c>
      <c r="I300" s="52">
        <v>0</v>
      </c>
      <c r="J300" s="51">
        <f t="shared" si="141"/>
        <v>0</v>
      </c>
      <c r="K300" s="52">
        <v>0</v>
      </c>
      <c r="L300" s="52">
        <v>0</v>
      </c>
      <c r="M300" s="52">
        <v>0</v>
      </c>
      <c r="N300" s="51">
        <f t="shared" si="142"/>
        <v>0</v>
      </c>
      <c r="O300" s="52">
        <v>0</v>
      </c>
      <c r="P300" s="52">
        <v>0</v>
      </c>
      <c r="Q300" s="52">
        <v>0</v>
      </c>
      <c r="R300" s="51">
        <f t="shared" si="143"/>
        <v>0</v>
      </c>
      <c r="S300" s="52">
        <v>0</v>
      </c>
      <c r="T300" s="52">
        <v>0</v>
      </c>
      <c r="U300" s="52">
        <v>0</v>
      </c>
      <c r="V300" s="51">
        <f t="shared" si="144"/>
        <v>0</v>
      </c>
    </row>
    <row r="301" spans="1:22" s="36" customFormat="1" ht="12.75" customHeight="1" hidden="1">
      <c r="A301" s="98"/>
      <c r="B301" s="39" t="s">
        <v>104</v>
      </c>
      <c r="C301" s="39">
        <v>244</v>
      </c>
      <c r="D301" s="49" t="s">
        <v>105</v>
      </c>
      <c r="E301" s="88"/>
      <c r="F301" s="52">
        <f>J301+N301+R301+V301</f>
        <v>0</v>
      </c>
      <c r="G301" s="52"/>
      <c r="H301" s="52"/>
      <c r="I301" s="52"/>
      <c r="J301" s="51">
        <f t="shared" si="141"/>
        <v>0</v>
      </c>
      <c r="K301" s="52"/>
      <c r="L301" s="52"/>
      <c r="M301" s="52"/>
      <c r="N301" s="51">
        <f t="shared" si="142"/>
        <v>0</v>
      </c>
      <c r="O301" s="52"/>
      <c r="P301" s="52"/>
      <c r="Q301" s="52"/>
      <c r="R301" s="51">
        <f t="shared" si="143"/>
        <v>0</v>
      </c>
      <c r="S301" s="52"/>
      <c r="T301" s="52"/>
      <c r="U301" s="52"/>
      <c r="V301" s="51">
        <f t="shared" si="144"/>
        <v>0</v>
      </c>
    </row>
    <row r="302" spans="1:23" s="36" customFormat="1" ht="33.75" customHeight="1">
      <c r="A302" s="98"/>
      <c r="B302" s="41" t="s">
        <v>326</v>
      </c>
      <c r="C302" s="41">
        <v>240</v>
      </c>
      <c r="D302" s="101"/>
      <c r="E302" s="88"/>
      <c r="F302" s="51">
        <f t="shared" si="145"/>
        <v>220</v>
      </c>
      <c r="G302" s="52">
        <f>G305+G306+G303+G304</f>
        <v>14.6</v>
      </c>
      <c r="H302" s="52">
        <f>H305+H306+H303+H304</f>
        <v>20</v>
      </c>
      <c r="I302" s="52">
        <f>I305+I306+I303+I304</f>
        <v>20.4</v>
      </c>
      <c r="J302" s="51">
        <f t="shared" si="141"/>
        <v>55</v>
      </c>
      <c r="K302" s="52">
        <f>K305+K306+K303+K304</f>
        <v>15</v>
      </c>
      <c r="L302" s="52">
        <f>L305+L306+L303+L304</f>
        <v>20</v>
      </c>
      <c r="M302" s="52">
        <f>M305+M306+M303+M304</f>
        <v>20</v>
      </c>
      <c r="N302" s="51">
        <f t="shared" si="142"/>
        <v>55</v>
      </c>
      <c r="O302" s="52">
        <f>O305+O306+O303+O304</f>
        <v>15</v>
      </c>
      <c r="P302" s="52">
        <f>P305+P306+P303+P304</f>
        <v>20</v>
      </c>
      <c r="Q302" s="52">
        <f>Q305+Q306+Q303+Q304</f>
        <v>20</v>
      </c>
      <c r="R302" s="51">
        <f t="shared" si="143"/>
        <v>55</v>
      </c>
      <c r="S302" s="52">
        <f>S305+S306+S303+S304</f>
        <v>15</v>
      </c>
      <c r="T302" s="52">
        <f>T305+T306+T303+T304</f>
        <v>20</v>
      </c>
      <c r="U302" s="52">
        <f>U305+U306+U303+U304</f>
        <v>20</v>
      </c>
      <c r="V302" s="51">
        <f t="shared" si="144"/>
        <v>55</v>
      </c>
      <c r="W302" s="78"/>
    </row>
    <row r="303" spans="1:22" s="36" customFormat="1" ht="21" customHeight="1" hidden="1">
      <c r="A303" s="98"/>
      <c r="B303" s="41" t="s">
        <v>98</v>
      </c>
      <c r="C303" s="41">
        <v>244</v>
      </c>
      <c r="D303" s="49" t="s">
        <v>99</v>
      </c>
      <c r="E303" s="88"/>
      <c r="F303" s="52">
        <f>J303+N303+R303+V303</f>
        <v>0</v>
      </c>
      <c r="G303" s="52"/>
      <c r="H303" s="52"/>
      <c r="I303" s="52"/>
      <c r="J303" s="51">
        <f>SUM(G303:I303)</f>
        <v>0</v>
      </c>
      <c r="K303" s="52"/>
      <c r="L303" s="52"/>
      <c r="M303" s="52"/>
      <c r="N303" s="51">
        <f>SUM(K303:M303)</f>
        <v>0</v>
      </c>
      <c r="O303" s="52"/>
      <c r="P303" s="52"/>
      <c r="Q303" s="52"/>
      <c r="R303" s="51">
        <f>SUM(O303:Q303)</f>
        <v>0</v>
      </c>
      <c r="S303" s="52"/>
      <c r="T303" s="52"/>
      <c r="U303" s="52"/>
      <c r="V303" s="51">
        <f>SUM(S303:U303)</f>
        <v>0</v>
      </c>
    </row>
    <row r="304" spans="1:22" s="36" customFormat="1" ht="21" customHeight="1" hidden="1">
      <c r="A304" s="98"/>
      <c r="B304" s="41"/>
      <c r="C304" s="41">
        <v>244</v>
      </c>
      <c r="D304" s="49" t="s">
        <v>105</v>
      </c>
      <c r="E304" s="88"/>
      <c r="F304" s="52">
        <f>J304+N304+R304+V304</f>
        <v>0</v>
      </c>
      <c r="G304" s="52"/>
      <c r="H304" s="52"/>
      <c r="I304" s="52"/>
      <c r="J304" s="51">
        <f>SUM(G304:I304)</f>
        <v>0</v>
      </c>
      <c r="K304" s="52"/>
      <c r="L304" s="52"/>
      <c r="M304" s="52"/>
      <c r="N304" s="51">
        <f>SUM(K304:M304)</f>
        <v>0</v>
      </c>
      <c r="O304" s="52"/>
      <c r="P304" s="52"/>
      <c r="Q304" s="52"/>
      <c r="R304" s="51">
        <f>SUM(O304:Q304)</f>
        <v>0</v>
      </c>
      <c r="S304" s="52"/>
      <c r="T304" s="52"/>
      <c r="U304" s="52"/>
      <c r="V304" s="51">
        <f>SUM(S304:U304)</f>
        <v>0</v>
      </c>
    </row>
    <row r="305" spans="1:22" s="36" customFormat="1" ht="12.75" customHeight="1">
      <c r="A305" s="98"/>
      <c r="B305" s="39" t="s">
        <v>133</v>
      </c>
      <c r="C305" s="39">
        <v>244</v>
      </c>
      <c r="D305" s="49" t="s">
        <v>107</v>
      </c>
      <c r="E305" s="88"/>
      <c r="F305" s="52">
        <f t="shared" si="145"/>
        <v>220</v>
      </c>
      <c r="G305" s="52">
        <f>15-0.4</f>
        <v>14.6</v>
      </c>
      <c r="H305" s="52">
        <v>20</v>
      </c>
      <c r="I305" s="52">
        <f>20+0.4</f>
        <v>20.4</v>
      </c>
      <c r="J305" s="51">
        <f t="shared" si="141"/>
        <v>55</v>
      </c>
      <c r="K305" s="52">
        <v>15</v>
      </c>
      <c r="L305" s="52">
        <v>20</v>
      </c>
      <c r="M305" s="52">
        <v>20</v>
      </c>
      <c r="N305" s="51">
        <f t="shared" si="142"/>
        <v>55</v>
      </c>
      <c r="O305" s="52">
        <v>15</v>
      </c>
      <c r="P305" s="52">
        <v>20</v>
      </c>
      <c r="Q305" s="52">
        <v>20</v>
      </c>
      <c r="R305" s="51">
        <f t="shared" si="143"/>
        <v>55</v>
      </c>
      <c r="S305" s="52">
        <v>15</v>
      </c>
      <c r="T305" s="52">
        <v>20</v>
      </c>
      <c r="U305" s="52">
        <v>20</v>
      </c>
      <c r="V305" s="51">
        <f t="shared" si="144"/>
        <v>55</v>
      </c>
    </row>
    <row r="306" spans="1:22" s="36" customFormat="1" ht="21" customHeight="1" hidden="1">
      <c r="A306" s="98"/>
      <c r="B306" s="39" t="s">
        <v>198</v>
      </c>
      <c r="C306" s="39">
        <v>244</v>
      </c>
      <c r="D306" s="49" t="s">
        <v>111</v>
      </c>
      <c r="E306" s="88"/>
      <c r="F306" s="52">
        <f t="shared" si="145"/>
        <v>0</v>
      </c>
      <c r="G306" s="52"/>
      <c r="H306" s="52"/>
      <c r="I306" s="52"/>
      <c r="J306" s="51">
        <f t="shared" si="141"/>
        <v>0</v>
      </c>
      <c r="K306" s="52"/>
      <c r="L306" s="52"/>
      <c r="M306" s="52"/>
      <c r="N306" s="51">
        <f t="shared" si="142"/>
        <v>0</v>
      </c>
      <c r="O306" s="52"/>
      <c r="P306" s="52"/>
      <c r="Q306" s="52"/>
      <c r="R306" s="51">
        <f t="shared" si="143"/>
        <v>0</v>
      </c>
      <c r="S306" s="52"/>
      <c r="T306" s="52"/>
      <c r="U306" s="52"/>
      <c r="V306" s="51">
        <f t="shared" si="144"/>
        <v>0</v>
      </c>
    </row>
    <row r="307" spans="1:22" s="36" customFormat="1" ht="50.25" customHeight="1" hidden="1">
      <c r="A307" s="98"/>
      <c r="B307" s="42" t="s">
        <v>267</v>
      </c>
      <c r="C307" s="95" t="s">
        <v>266</v>
      </c>
      <c r="D307" s="95"/>
      <c r="E307" s="88"/>
      <c r="F307" s="51">
        <f>J307+N307+R307+V307</f>
        <v>0</v>
      </c>
      <c r="G307" s="52">
        <f>G308</f>
        <v>0</v>
      </c>
      <c r="H307" s="52">
        <f>H308</f>
        <v>0</v>
      </c>
      <c r="I307" s="52">
        <f>I308</f>
        <v>0</v>
      </c>
      <c r="J307" s="51">
        <f>SUM(G307:I307)</f>
        <v>0</v>
      </c>
      <c r="K307" s="52">
        <f>K308</f>
        <v>0</v>
      </c>
      <c r="L307" s="52">
        <f>L308</f>
        <v>0</v>
      </c>
      <c r="M307" s="52">
        <f>M308</f>
        <v>0</v>
      </c>
      <c r="N307" s="51">
        <f>SUM(K307:M307)</f>
        <v>0</v>
      </c>
      <c r="O307" s="52">
        <f>O308</f>
        <v>0</v>
      </c>
      <c r="P307" s="52">
        <f>P308</f>
        <v>0</v>
      </c>
      <c r="Q307" s="52">
        <f>Q308</f>
        <v>0</v>
      </c>
      <c r="R307" s="51">
        <f>SUM(O307:Q307)</f>
        <v>0</v>
      </c>
      <c r="S307" s="52">
        <f>S308</f>
        <v>0</v>
      </c>
      <c r="T307" s="52">
        <f>T308</f>
        <v>0</v>
      </c>
      <c r="U307" s="52">
        <f>U308</f>
        <v>0</v>
      </c>
      <c r="V307" s="51">
        <f>SUM(S307:U307)</f>
        <v>0</v>
      </c>
    </row>
    <row r="308" spans="1:22" s="36" customFormat="1" ht="21.75" customHeight="1" hidden="1">
      <c r="A308" s="98" t="s">
        <v>281</v>
      </c>
      <c r="B308" s="43" t="s">
        <v>249</v>
      </c>
      <c r="C308" s="95" t="s">
        <v>258</v>
      </c>
      <c r="D308" s="95" t="s">
        <v>109</v>
      </c>
      <c r="E308" s="88"/>
      <c r="F308" s="52">
        <f>J308+N308+R308+V308</f>
        <v>0</v>
      </c>
      <c r="G308" s="52"/>
      <c r="H308" s="52"/>
      <c r="I308" s="52"/>
      <c r="J308" s="51">
        <f>SUM(G308:I308)</f>
        <v>0</v>
      </c>
      <c r="K308" s="52"/>
      <c r="L308" s="52"/>
      <c r="M308" s="52"/>
      <c r="N308" s="51">
        <f>SUM(K308:M308)</f>
        <v>0</v>
      </c>
      <c r="O308" s="52">
        <v>0</v>
      </c>
      <c r="P308" s="52">
        <v>0</v>
      </c>
      <c r="Q308" s="52">
        <v>0</v>
      </c>
      <c r="R308" s="51">
        <f>SUM(O308:Q308)</f>
        <v>0</v>
      </c>
      <c r="S308" s="52"/>
      <c r="T308" s="52">
        <v>0</v>
      </c>
      <c r="U308" s="52">
        <v>0</v>
      </c>
      <c r="V308" s="51">
        <f>SUM(S308:U308)</f>
        <v>0</v>
      </c>
    </row>
    <row r="309" spans="1:22" s="36" customFormat="1" ht="55.5" customHeight="1">
      <c r="A309" s="98"/>
      <c r="B309" s="41" t="s">
        <v>327</v>
      </c>
      <c r="C309" s="41">
        <v>611</v>
      </c>
      <c r="D309" s="49" t="s">
        <v>202</v>
      </c>
      <c r="E309" s="47"/>
      <c r="F309" s="57">
        <f t="shared" si="145"/>
        <v>9769.369999999999</v>
      </c>
      <c r="G309" s="53">
        <f>G310+G312+G313+G315+G319+G322+G323+G324</f>
        <v>701.1</v>
      </c>
      <c r="H309" s="53">
        <f>H310+H312+H313+H315+H319+H322+H323+H324</f>
        <v>731.8000000000001</v>
      </c>
      <c r="I309" s="53">
        <f>I310+I312+I313+I315+I319+I322+I323+I324</f>
        <v>766.6299999999999</v>
      </c>
      <c r="J309" s="57">
        <f>G309+H309+I309</f>
        <v>2199.5299999999997</v>
      </c>
      <c r="K309" s="53">
        <f>K310+K312+K313+K315+K319+K322+K323+K324</f>
        <v>535</v>
      </c>
      <c r="L309" s="53">
        <f>L310+L312+L313+L315+L319+L322+L323+L324</f>
        <v>796.4</v>
      </c>
      <c r="M309" s="53">
        <f>M310+M312+M313+M315+M319+M322+M323+M324</f>
        <v>1062.8999999999999</v>
      </c>
      <c r="N309" s="57">
        <f>K309+L309+M309</f>
        <v>2394.3</v>
      </c>
      <c r="O309" s="53">
        <f>O310+O312+O313+O315+O319+O322+O323+O324</f>
        <v>732.3</v>
      </c>
      <c r="P309" s="53">
        <f>P310+P312+P313+P315+P319+P322+P323+P324</f>
        <v>732.3</v>
      </c>
      <c r="Q309" s="53">
        <f>Q310+Q312+Q313+Q315+Q319+Q322+Q323+Q324</f>
        <v>738.4</v>
      </c>
      <c r="R309" s="57">
        <f>O309+P309+Q309</f>
        <v>2203</v>
      </c>
      <c r="S309" s="53">
        <f>S310+S312+S313+S315+S319+S322+S323+S324</f>
        <v>988.0000000000001</v>
      </c>
      <c r="T309" s="53">
        <f>T310+T312+T313+T315+T319+T322+T323+T324</f>
        <v>989.9</v>
      </c>
      <c r="U309" s="53">
        <f>U310+U312+U313+U315+U319+U322+U323+U324</f>
        <v>994.64</v>
      </c>
      <c r="V309" s="57">
        <f>S309+T309+U309</f>
        <v>2972.54</v>
      </c>
    </row>
    <row r="310" spans="1:22" s="36" customFormat="1" ht="12.75">
      <c r="A310" s="98"/>
      <c r="B310" s="39" t="s">
        <v>90</v>
      </c>
      <c r="C310" s="39">
        <v>611</v>
      </c>
      <c r="D310" s="139" t="s">
        <v>150</v>
      </c>
      <c r="E310" s="140"/>
      <c r="F310" s="52">
        <f t="shared" si="145"/>
        <v>6095.83</v>
      </c>
      <c r="G310" s="52">
        <v>406.4</v>
      </c>
      <c r="H310" s="52">
        <v>406.4</v>
      </c>
      <c r="I310" s="52">
        <v>406.4</v>
      </c>
      <c r="J310" s="51">
        <f>SUM(G310:I310)</f>
        <v>1219.1999999999998</v>
      </c>
      <c r="K310" s="52">
        <f>508-200</f>
        <v>308</v>
      </c>
      <c r="L310" s="52">
        <v>508</v>
      </c>
      <c r="M310" s="52">
        <f>508+200</f>
        <v>708</v>
      </c>
      <c r="N310" s="51">
        <f t="shared" si="136"/>
        <v>1524</v>
      </c>
      <c r="O310" s="52">
        <v>508</v>
      </c>
      <c r="P310" s="52">
        <v>508</v>
      </c>
      <c r="Q310" s="52">
        <v>508</v>
      </c>
      <c r="R310" s="51">
        <f>SUM(O310:Q310)</f>
        <v>1524</v>
      </c>
      <c r="S310" s="52">
        <v>610</v>
      </c>
      <c r="T310" s="52">
        <v>610</v>
      </c>
      <c r="U310" s="52">
        <v>608.63</v>
      </c>
      <c r="V310" s="51">
        <f>SUM(S310:U310)</f>
        <v>1828.63</v>
      </c>
    </row>
    <row r="311" spans="1:22" s="36" customFormat="1" ht="12.75" hidden="1">
      <c r="A311" s="98"/>
      <c r="B311" s="39" t="s">
        <v>92</v>
      </c>
      <c r="C311" s="39">
        <v>611</v>
      </c>
      <c r="D311" s="49" t="s">
        <v>151</v>
      </c>
      <c r="E311" s="47"/>
      <c r="F311" s="52">
        <f t="shared" si="145"/>
        <v>0</v>
      </c>
      <c r="G311" s="52"/>
      <c r="H311" s="52"/>
      <c r="I311" s="52"/>
      <c r="J311" s="51">
        <f>SUM(G311:I311)</f>
        <v>0</v>
      </c>
      <c r="K311" s="52"/>
      <c r="L311" s="52"/>
      <c r="M311" s="52"/>
      <c r="N311" s="51">
        <f t="shared" si="136"/>
        <v>0</v>
      </c>
      <c r="O311" s="52"/>
      <c r="P311" s="52"/>
      <c r="Q311" s="52"/>
      <c r="R311" s="51">
        <f>SUM(O311:Q311)</f>
        <v>0</v>
      </c>
      <c r="S311" s="52"/>
      <c r="T311" s="52"/>
      <c r="U311" s="52"/>
      <c r="V311" s="51">
        <f>SUM(S311:U311)</f>
        <v>0</v>
      </c>
    </row>
    <row r="312" spans="1:22" s="36" customFormat="1" ht="12.75">
      <c r="A312" s="98"/>
      <c r="B312" s="39" t="s">
        <v>94</v>
      </c>
      <c r="C312" s="39">
        <v>611</v>
      </c>
      <c r="D312" s="49" t="s">
        <v>152</v>
      </c>
      <c r="E312" s="47"/>
      <c r="F312" s="52">
        <f>J312+N312+R312+V312</f>
        <v>1840.9</v>
      </c>
      <c r="G312" s="52">
        <v>122.7</v>
      </c>
      <c r="H312" s="52">
        <v>122.7</v>
      </c>
      <c r="I312" s="52">
        <v>122.8</v>
      </c>
      <c r="J312" s="51">
        <f>SUM(G312:I312)</f>
        <v>368.2</v>
      </c>
      <c r="K312" s="52">
        <v>93</v>
      </c>
      <c r="L312" s="52">
        <v>153.4</v>
      </c>
      <c r="M312" s="52">
        <v>213.8</v>
      </c>
      <c r="N312" s="51">
        <f>SUM(K312:M312)</f>
        <v>460.20000000000005</v>
      </c>
      <c r="O312" s="52">
        <v>153.4</v>
      </c>
      <c r="P312" s="52">
        <v>153.4</v>
      </c>
      <c r="Q312" s="52">
        <v>153.4</v>
      </c>
      <c r="R312" s="51">
        <f>SUM(O312:Q312)</f>
        <v>460.20000000000005</v>
      </c>
      <c r="S312" s="52">
        <v>184.1</v>
      </c>
      <c r="T312" s="52">
        <v>184.1</v>
      </c>
      <c r="U312" s="52">
        <v>184.1</v>
      </c>
      <c r="V312" s="51">
        <f>SUM(S312:U312)</f>
        <v>552.3</v>
      </c>
    </row>
    <row r="313" spans="1:22" s="36" customFormat="1" ht="12.75">
      <c r="A313" s="98"/>
      <c r="B313" s="39" t="s">
        <v>96</v>
      </c>
      <c r="C313" s="39">
        <v>611</v>
      </c>
      <c r="D313" s="49" t="s">
        <v>153</v>
      </c>
      <c r="E313" s="47"/>
      <c r="F313" s="52">
        <f>J313+N313+R313+V313</f>
        <v>68.39999999999999</v>
      </c>
      <c r="G313" s="52">
        <v>5</v>
      </c>
      <c r="H313" s="52">
        <v>5</v>
      </c>
      <c r="I313" s="52">
        <v>5</v>
      </c>
      <c r="J313" s="51">
        <f>SUM(G313:I313)</f>
        <v>15</v>
      </c>
      <c r="K313" s="52">
        <v>5.9</v>
      </c>
      <c r="L313" s="52">
        <v>5.9</v>
      </c>
      <c r="M313" s="52">
        <v>6</v>
      </c>
      <c r="N313" s="51">
        <f>SUM(K313:M313)</f>
        <v>17.8</v>
      </c>
      <c r="O313" s="52">
        <v>5.9</v>
      </c>
      <c r="P313" s="52">
        <v>5.9</v>
      </c>
      <c r="Q313" s="52">
        <v>6</v>
      </c>
      <c r="R313" s="51">
        <f>SUM(O313:Q313)</f>
        <v>17.8</v>
      </c>
      <c r="S313" s="52">
        <v>5.9</v>
      </c>
      <c r="T313" s="52">
        <v>5.9</v>
      </c>
      <c r="U313" s="52">
        <v>6</v>
      </c>
      <c r="V313" s="51">
        <f>SUM(S313:U313)</f>
        <v>17.8</v>
      </c>
    </row>
    <row r="314" spans="1:22" s="36" customFormat="1" ht="12.75" hidden="1">
      <c r="A314" s="98"/>
      <c r="B314" s="39" t="s">
        <v>98</v>
      </c>
      <c r="C314" s="39">
        <v>611</v>
      </c>
      <c r="D314" s="49" t="s">
        <v>154</v>
      </c>
      <c r="E314" s="47"/>
      <c r="F314" s="52"/>
      <c r="G314" s="52"/>
      <c r="H314" s="52"/>
      <c r="I314" s="52"/>
      <c r="J314" s="51"/>
      <c r="K314" s="52"/>
      <c r="L314" s="52"/>
      <c r="M314" s="52"/>
      <c r="N314" s="51"/>
      <c r="O314" s="52"/>
      <c r="P314" s="52"/>
      <c r="Q314" s="52"/>
      <c r="R314" s="51"/>
      <c r="S314" s="52"/>
      <c r="T314" s="52"/>
      <c r="U314" s="52"/>
      <c r="V314" s="51"/>
    </row>
    <row r="315" spans="1:22" s="36" customFormat="1" ht="12.75">
      <c r="A315" s="98"/>
      <c r="B315" s="39" t="s">
        <v>100</v>
      </c>
      <c r="C315" s="39">
        <v>611</v>
      </c>
      <c r="D315" s="49" t="s">
        <v>155</v>
      </c>
      <c r="E315" s="47"/>
      <c r="F315" s="52">
        <f aca="true" t="shared" si="146" ref="F315:F322">J315+N315+R315+V315</f>
        <v>1349.3</v>
      </c>
      <c r="G315" s="52">
        <f aca="true" t="shared" si="147" ref="G315:M315">SUM(G316:G318)</f>
        <v>167</v>
      </c>
      <c r="H315" s="52">
        <f t="shared" si="147"/>
        <v>168</v>
      </c>
      <c r="I315" s="52">
        <f t="shared" si="147"/>
        <v>169</v>
      </c>
      <c r="J315" s="51">
        <f t="shared" si="147"/>
        <v>504</v>
      </c>
      <c r="K315" s="52">
        <f t="shared" si="147"/>
        <v>95.1</v>
      </c>
      <c r="L315" s="52">
        <f t="shared" si="147"/>
        <v>96.1</v>
      </c>
      <c r="M315" s="52">
        <f t="shared" si="147"/>
        <v>97.1</v>
      </c>
      <c r="N315" s="51">
        <f aca="true" t="shared" si="148" ref="N315:N322">SUM(K315:M315)</f>
        <v>288.29999999999995</v>
      </c>
      <c r="O315" s="52">
        <f>SUM(O316:O318)</f>
        <v>32</v>
      </c>
      <c r="P315" s="52">
        <f>SUM(P316:P318)</f>
        <v>32</v>
      </c>
      <c r="Q315" s="52">
        <f>SUM(Q316:Q318)</f>
        <v>33</v>
      </c>
      <c r="R315" s="51">
        <f>SUM(O315:Q315)</f>
        <v>97</v>
      </c>
      <c r="S315" s="52">
        <f>SUM(S316:S318)</f>
        <v>152.6</v>
      </c>
      <c r="T315" s="52">
        <f>SUM(T316:T318)</f>
        <v>153.6</v>
      </c>
      <c r="U315" s="52">
        <f>SUM(U316:U318)</f>
        <v>153.79999999999998</v>
      </c>
      <c r="V315" s="51">
        <f aca="true" t="shared" si="149" ref="V315:V323">SUM(S315:U315)</f>
        <v>460</v>
      </c>
    </row>
    <row r="316" spans="1:22" s="36" customFormat="1" ht="12.75">
      <c r="A316" s="98"/>
      <c r="B316" s="39" t="s">
        <v>117</v>
      </c>
      <c r="C316" s="39">
        <v>611</v>
      </c>
      <c r="D316" s="49" t="s">
        <v>155</v>
      </c>
      <c r="E316" s="47"/>
      <c r="F316" s="52">
        <f t="shared" si="146"/>
        <v>951.4</v>
      </c>
      <c r="G316" s="52">
        <v>127</v>
      </c>
      <c r="H316" s="52">
        <v>127</v>
      </c>
      <c r="I316" s="52">
        <v>127</v>
      </c>
      <c r="J316" s="51">
        <f aca="true" t="shared" si="150" ref="J316:J324">SUM(G316:I316)</f>
        <v>381</v>
      </c>
      <c r="K316" s="52">
        <v>76.1</v>
      </c>
      <c r="L316" s="52">
        <v>76.1</v>
      </c>
      <c r="M316" s="52">
        <v>76.1</v>
      </c>
      <c r="N316" s="51">
        <f t="shared" si="148"/>
        <v>228.29999999999998</v>
      </c>
      <c r="O316" s="52"/>
      <c r="P316" s="52"/>
      <c r="Q316" s="52"/>
      <c r="R316" s="51">
        <f>SUM(O316:Q316)</f>
        <v>0</v>
      </c>
      <c r="S316" s="52">
        <v>114</v>
      </c>
      <c r="T316" s="52">
        <v>114</v>
      </c>
      <c r="U316" s="52">
        <v>114.1</v>
      </c>
      <c r="V316" s="51">
        <f t="shared" si="149"/>
        <v>342.1</v>
      </c>
    </row>
    <row r="317" spans="1:22" s="36" customFormat="1" ht="12.75">
      <c r="A317" s="98"/>
      <c r="B317" s="39" t="s">
        <v>118</v>
      </c>
      <c r="C317" s="39">
        <v>611</v>
      </c>
      <c r="D317" s="49" t="s">
        <v>155</v>
      </c>
      <c r="E317" s="47"/>
      <c r="F317" s="52">
        <f t="shared" si="146"/>
        <v>335.8</v>
      </c>
      <c r="G317" s="52">
        <v>36</v>
      </c>
      <c r="H317" s="52">
        <v>37</v>
      </c>
      <c r="I317" s="52">
        <v>37</v>
      </c>
      <c r="J317" s="51">
        <f t="shared" si="150"/>
        <v>110</v>
      </c>
      <c r="K317" s="52">
        <v>14</v>
      </c>
      <c r="L317" s="52">
        <v>15</v>
      </c>
      <c r="M317" s="52">
        <v>15</v>
      </c>
      <c r="N317" s="51">
        <f t="shared" si="148"/>
        <v>44</v>
      </c>
      <c r="O317" s="52">
        <v>27</v>
      </c>
      <c r="P317" s="52">
        <v>27</v>
      </c>
      <c r="Q317" s="52">
        <v>27</v>
      </c>
      <c r="R317" s="51">
        <f aca="true" t="shared" si="151" ref="R317:R332">SUM(O317:Q317)</f>
        <v>81</v>
      </c>
      <c r="S317" s="52">
        <v>33.6</v>
      </c>
      <c r="T317" s="52">
        <v>33.6</v>
      </c>
      <c r="U317" s="52">
        <v>33.6</v>
      </c>
      <c r="V317" s="51">
        <f t="shared" si="149"/>
        <v>100.80000000000001</v>
      </c>
    </row>
    <row r="318" spans="1:22" s="36" customFormat="1" ht="12.75">
      <c r="A318" s="98"/>
      <c r="B318" s="39" t="s">
        <v>119</v>
      </c>
      <c r="C318" s="39">
        <v>611</v>
      </c>
      <c r="D318" s="49" t="s">
        <v>155</v>
      </c>
      <c r="E318" s="47"/>
      <c r="F318" s="52">
        <f t="shared" si="146"/>
        <v>62.1</v>
      </c>
      <c r="G318" s="52">
        <v>4</v>
      </c>
      <c r="H318" s="52">
        <v>4</v>
      </c>
      <c r="I318" s="52">
        <v>5</v>
      </c>
      <c r="J318" s="51">
        <f t="shared" si="150"/>
        <v>13</v>
      </c>
      <c r="K318" s="52">
        <v>5</v>
      </c>
      <c r="L318" s="52">
        <v>5</v>
      </c>
      <c r="M318" s="52">
        <v>6</v>
      </c>
      <c r="N318" s="51">
        <f t="shared" si="148"/>
        <v>16</v>
      </c>
      <c r="O318" s="52">
        <v>5</v>
      </c>
      <c r="P318" s="52">
        <v>5</v>
      </c>
      <c r="Q318" s="52">
        <v>6</v>
      </c>
      <c r="R318" s="51">
        <f t="shared" si="151"/>
        <v>16</v>
      </c>
      <c r="S318" s="52">
        <v>5</v>
      </c>
      <c r="T318" s="52">
        <v>6</v>
      </c>
      <c r="U318" s="52">
        <v>6.1</v>
      </c>
      <c r="V318" s="51">
        <f t="shared" si="149"/>
        <v>17.1</v>
      </c>
    </row>
    <row r="319" spans="1:22" s="36" customFormat="1" ht="12.75">
      <c r="A319" s="98"/>
      <c r="B319" s="39" t="s">
        <v>102</v>
      </c>
      <c r="C319" s="39">
        <v>611</v>
      </c>
      <c r="D319" s="49" t="s">
        <v>156</v>
      </c>
      <c r="E319" s="47"/>
      <c r="F319" s="52">
        <f t="shared" si="146"/>
        <v>106.2</v>
      </c>
      <c r="G319" s="61">
        <f aca="true" t="shared" si="152" ref="G319:I320">G320</f>
        <v>0</v>
      </c>
      <c r="H319" s="52">
        <f t="shared" si="152"/>
        <v>9</v>
      </c>
      <c r="I319" s="52">
        <f t="shared" si="152"/>
        <v>17</v>
      </c>
      <c r="J319" s="51">
        <f t="shared" si="150"/>
        <v>26</v>
      </c>
      <c r="K319" s="52">
        <f aca="true" t="shared" si="153" ref="K319:M320">K320</f>
        <v>9</v>
      </c>
      <c r="L319" s="52">
        <f t="shared" si="153"/>
        <v>9</v>
      </c>
      <c r="M319" s="52">
        <f t="shared" si="153"/>
        <v>9</v>
      </c>
      <c r="N319" s="51">
        <f t="shared" si="148"/>
        <v>27</v>
      </c>
      <c r="O319" s="52">
        <f aca="true" t="shared" si="154" ref="O319:Q320">O320</f>
        <v>9</v>
      </c>
      <c r="P319" s="52">
        <f t="shared" si="154"/>
        <v>9</v>
      </c>
      <c r="Q319" s="52">
        <f t="shared" si="154"/>
        <v>9</v>
      </c>
      <c r="R319" s="51">
        <f t="shared" si="151"/>
        <v>27</v>
      </c>
      <c r="S319" s="52">
        <f aca="true" t="shared" si="155" ref="S319:U320">S320</f>
        <v>8.2</v>
      </c>
      <c r="T319" s="52">
        <f t="shared" si="155"/>
        <v>9</v>
      </c>
      <c r="U319" s="52">
        <f t="shared" si="155"/>
        <v>9</v>
      </c>
      <c r="V319" s="51">
        <f t="shared" si="149"/>
        <v>26.2</v>
      </c>
    </row>
    <row r="320" spans="1:22" s="36" customFormat="1" ht="12.75">
      <c r="A320" s="98"/>
      <c r="B320" s="39" t="s">
        <v>137</v>
      </c>
      <c r="C320" s="39">
        <v>611</v>
      </c>
      <c r="D320" s="49" t="s">
        <v>156</v>
      </c>
      <c r="E320" s="47"/>
      <c r="F320" s="52">
        <f t="shared" si="146"/>
        <v>106.2</v>
      </c>
      <c r="G320" s="61">
        <f t="shared" si="152"/>
        <v>0</v>
      </c>
      <c r="H320" s="52">
        <f t="shared" si="152"/>
        <v>9</v>
      </c>
      <c r="I320" s="52">
        <f t="shared" si="152"/>
        <v>17</v>
      </c>
      <c r="J320" s="51">
        <f t="shared" si="150"/>
        <v>26</v>
      </c>
      <c r="K320" s="52">
        <f t="shared" si="153"/>
        <v>9</v>
      </c>
      <c r="L320" s="52">
        <f t="shared" si="153"/>
        <v>9</v>
      </c>
      <c r="M320" s="52">
        <f t="shared" si="153"/>
        <v>9</v>
      </c>
      <c r="N320" s="51">
        <f>SUM(K320:M320)</f>
        <v>27</v>
      </c>
      <c r="O320" s="52">
        <f t="shared" si="154"/>
        <v>9</v>
      </c>
      <c r="P320" s="52">
        <f t="shared" si="154"/>
        <v>9</v>
      </c>
      <c r="Q320" s="52">
        <f t="shared" si="154"/>
        <v>9</v>
      </c>
      <c r="R320" s="51">
        <f>SUM(O320:Q320)</f>
        <v>27</v>
      </c>
      <c r="S320" s="52">
        <f t="shared" si="155"/>
        <v>8.2</v>
      </c>
      <c r="T320" s="52">
        <f t="shared" si="155"/>
        <v>9</v>
      </c>
      <c r="U320" s="52">
        <f t="shared" si="155"/>
        <v>9</v>
      </c>
      <c r="V320" s="51">
        <f>SUM(S320:U320)</f>
        <v>26.2</v>
      </c>
    </row>
    <row r="321" spans="1:22" s="36" customFormat="1" ht="18" customHeight="1">
      <c r="A321" s="98"/>
      <c r="B321" s="39" t="s">
        <v>140</v>
      </c>
      <c r="C321" s="39">
        <v>611</v>
      </c>
      <c r="D321" s="49" t="s">
        <v>156</v>
      </c>
      <c r="E321" s="47"/>
      <c r="F321" s="52">
        <f t="shared" si="146"/>
        <v>106.2</v>
      </c>
      <c r="G321" s="61">
        <f>8-8</f>
        <v>0</v>
      </c>
      <c r="H321" s="52">
        <v>9</v>
      </c>
      <c r="I321" s="52">
        <f>9+8</f>
        <v>17</v>
      </c>
      <c r="J321" s="51">
        <f>SUM(G321:I321)</f>
        <v>26</v>
      </c>
      <c r="K321" s="52">
        <v>9</v>
      </c>
      <c r="L321" s="52">
        <v>9</v>
      </c>
      <c r="M321" s="52">
        <v>9</v>
      </c>
      <c r="N321" s="51">
        <f>SUM(K321:M321)</f>
        <v>27</v>
      </c>
      <c r="O321" s="52">
        <v>9</v>
      </c>
      <c r="P321" s="52">
        <v>9</v>
      </c>
      <c r="Q321" s="52">
        <v>9</v>
      </c>
      <c r="R321" s="51">
        <f>SUM(O321:Q321)</f>
        <v>27</v>
      </c>
      <c r="S321" s="52">
        <v>8.2</v>
      </c>
      <c r="T321" s="52">
        <v>9</v>
      </c>
      <c r="U321" s="52">
        <v>9</v>
      </c>
      <c r="V321" s="51">
        <f>SUM(S321:U321)</f>
        <v>26.2</v>
      </c>
    </row>
    <row r="322" spans="1:22" s="36" customFormat="1" ht="12.75">
      <c r="A322" s="98"/>
      <c r="B322" s="39" t="s">
        <v>104</v>
      </c>
      <c r="C322" s="39">
        <v>611</v>
      </c>
      <c r="D322" s="49" t="s">
        <v>157</v>
      </c>
      <c r="E322" s="47"/>
      <c r="F322" s="52">
        <f t="shared" si="146"/>
        <v>80.5</v>
      </c>
      <c r="G322" s="61">
        <f>5-5</f>
        <v>0</v>
      </c>
      <c r="H322" s="52">
        <v>5</v>
      </c>
      <c r="I322" s="52">
        <f>10+5</f>
        <v>15</v>
      </c>
      <c r="J322" s="51">
        <f t="shared" si="150"/>
        <v>20</v>
      </c>
      <c r="K322" s="52">
        <v>5</v>
      </c>
      <c r="L322" s="52">
        <v>5</v>
      </c>
      <c r="M322" s="52">
        <v>10</v>
      </c>
      <c r="N322" s="51">
        <f t="shared" si="148"/>
        <v>20</v>
      </c>
      <c r="O322" s="52">
        <v>5</v>
      </c>
      <c r="P322" s="52">
        <v>5</v>
      </c>
      <c r="Q322" s="52">
        <v>10</v>
      </c>
      <c r="R322" s="51">
        <f t="shared" si="151"/>
        <v>20</v>
      </c>
      <c r="S322" s="52">
        <v>5</v>
      </c>
      <c r="T322" s="52">
        <v>5</v>
      </c>
      <c r="U322" s="52">
        <v>10.5</v>
      </c>
      <c r="V322" s="51">
        <f t="shared" si="149"/>
        <v>20.5</v>
      </c>
    </row>
    <row r="323" spans="1:22" s="36" customFormat="1" ht="12.75">
      <c r="A323" s="98"/>
      <c r="B323" s="39" t="s">
        <v>106</v>
      </c>
      <c r="C323" s="39">
        <v>611</v>
      </c>
      <c r="D323" s="49" t="s">
        <v>158</v>
      </c>
      <c r="E323" s="47"/>
      <c r="F323" s="52">
        <f>R323+V323+J323+N323</f>
        <v>228.24</v>
      </c>
      <c r="G323" s="61">
        <f>15.7-15.7</f>
        <v>0</v>
      </c>
      <c r="H323" s="52">
        <v>15.7</v>
      </c>
      <c r="I323" s="52">
        <f>15.73+15.7</f>
        <v>31.43</v>
      </c>
      <c r="J323" s="51">
        <f t="shared" si="150"/>
        <v>47.129999999999995</v>
      </c>
      <c r="K323" s="52">
        <v>19</v>
      </c>
      <c r="L323" s="52">
        <v>19</v>
      </c>
      <c r="M323" s="52">
        <v>19</v>
      </c>
      <c r="N323" s="51">
        <f>K323+L323+M323</f>
        <v>57</v>
      </c>
      <c r="O323" s="52">
        <v>19</v>
      </c>
      <c r="P323" s="52">
        <v>19</v>
      </c>
      <c r="Q323" s="52">
        <v>19</v>
      </c>
      <c r="R323" s="51">
        <f t="shared" si="151"/>
        <v>57</v>
      </c>
      <c r="S323" s="52">
        <v>22.2</v>
      </c>
      <c r="T323" s="52">
        <v>22.3</v>
      </c>
      <c r="U323" s="52">
        <v>22.61</v>
      </c>
      <c r="V323" s="51">
        <f t="shared" si="149"/>
        <v>67.11</v>
      </c>
    </row>
    <row r="324" spans="1:22" s="36" customFormat="1" ht="12.75" hidden="1">
      <c r="A324" s="98"/>
      <c r="B324" s="39" t="s">
        <v>114</v>
      </c>
      <c r="C324" s="39">
        <v>611</v>
      </c>
      <c r="D324" s="49" t="s">
        <v>159</v>
      </c>
      <c r="E324" s="47"/>
      <c r="F324" s="52">
        <f aca="true" t="shared" si="156" ref="F324:F332">J324+N324+R324+V324</f>
        <v>0</v>
      </c>
      <c r="G324" s="52">
        <f>G325+G326</f>
        <v>0</v>
      </c>
      <c r="H324" s="52">
        <f>H325+H326</f>
        <v>0</v>
      </c>
      <c r="I324" s="52">
        <f>I325+I326</f>
        <v>0</v>
      </c>
      <c r="J324" s="51">
        <f t="shared" si="150"/>
        <v>0</v>
      </c>
      <c r="K324" s="52">
        <f>SUM(K325:K326)</f>
        <v>0</v>
      </c>
      <c r="L324" s="52">
        <f>SUM(L325:L326)</f>
        <v>0</v>
      </c>
      <c r="M324" s="52">
        <f>SUM(M325:M326)</f>
        <v>0</v>
      </c>
      <c r="N324" s="51">
        <f aca="true" t="shared" si="157" ref="N324:N332">SUM(K324:M324)</f>
        <v>0</v>
      </c>
      <c r="O324" s="52">
        <f>SUM(O325:O326)</f>
        <v>0</v>
      </c>
      <c r="P324" s="52">
        <f>SUM(P325:P326)</f>
        <v>0</v>
      </c>
      <c r="Q324" s="52">
        <f>SUM(Q325:Q326)</f>
        <v>0</v>
      </c>
      <c r="R324" s="51">
        <f t="shared" si="151"/>
        <v>0</v>
      </c>
      <c r="S324" s="52">
        <f>SUM(S325:S326)</f>
        <v>0</v>
      </c>
      <c r="T324" s="52">
        <f>SUM(T325:T326)</f>
        <v>0</v>
      </c>
      <c r="U324" s="52">
        <f>SUM(U325:U326)</f>
        <v>0</v>
      </c>
      <c r="V324" s="51">
        <f aca="true" t="shared" si="158" ref="V324:V332">SUM(S324:U324)</f>
        <v>0</v>
      </c>
    </row>
    <row r="325" spans="1:22" s="36" customFormat="1" ht="12.75" hidden="1">
      <c r="A325" s="98"/>
      <c r="B325" s="39" t="s">
        <v>108</v>
      </c>
      <c r="C325" s="39">
        <v>611</v>
      </c>
      <c r="D325" s="49" t="s">
        <v>160</v>
      </c>
      <c r="E325" s="47"/>
      <c r="F325" s="52">
        <f t="shared" si="156"/>
        <v>0</v>
      </c>
      <c r="G325" s="52"/>
      <c r="H325" s="52"/>
      <c r="I325" s="52"/>
      <c r="J325" s="51"/>
      <c r="K325" s="52"/>
      <c r="L325" s="52"/>
      <c r="M325" s="52"/>
      <c r="N325" s="51">
        <f t="shared" si="157"/>
        <v>0</v>
      </c>
      <c r="O325" s="52"/>
      <c r="P325" s="52"/>
      <c r="Q325" s="52"/>
      <c r="R325" s="51">
        <f t="shared" si="151"/>
        <v>0</v>
      </c>
      <c r="S325" s="52"/>
      <c r="T325" s="52"/>
      <c r="U325" s="52"/>
      <c r="V325" s="51">
        <f t="shared" si="158"/>
        <v>0</v>
      </c>
    </row>
    <row r="326" spans="1:22" s="36" customFormat="1" ht="14.25" customHeight="1" hidden="1">
      <c r="A326" s="98"/>
      <c r="B326" s="39" t="s">
        <v>110</v>
      </c>
      <c r="C326" s="39">
        <v>611</v>
      </c>
      <c r="D326" s="49" t="s">
        <v>161</v>
      </c>
      <c r="E326" s="47"/>
      <c r="F326" s="52">
        <f t="shared" si="156"/>
        <v>0</v>
      </c>
      <c r="G326" s="52">
        <f>G327</f>
        <v>0</v>
      </c>
      <c r="H326" s="52">
        <f>H327</f>
        <v>0</v>
      </c>
      <c r="I326" s="52">
        <f>I327</f>
        <v>0</v>
      </c>
      <c r="J326" s="51">
        <f>SUM(G326:I326)</f>
        <v>0</v>
      </c>
      <c r="K326" s="52">
        <f>K327</f>
        <v>0</v>
      </c>
      <c r="L326" s="52">
        <f>L327</f>
        <v>0</v>
      </c>
      <c r="M326" s="52">
        <f>M327</f>
        <v>0</v>
      </c>
      <c r="N326" s="51">
        <f t="shared" si="157"/>
        <v>0</v>
      </c>
      <c r="O326" s="52">
        <f>O327</f>
        <v>0</v>
      </c>
      <c r="P326" s="52">
        <f>P327</f>
        <v>0</v>
      </c>
      <c r="Q326" s="52">
        <f>Q327</f>
        <v>0</v>
      </c>
      <c r="R326" s="51">
        <f t="shared" si="151"/>
        <v>0</v>
      </c>
      <c r="S326" s="52">
        <f>S327</f>
        <v>0</v>
      </c>
      <c r="T326" s="52">
        <f>T327</f>
        <v>0</v>
      </c>
      <c r="U326" s="52">
        <f>U327</f>
        <v>0</v>
      </c>
      <c r="V326" s="51">
        <f t="shared" si="158"/>
        <v>0</v>
      </c>
    </row>
    <row r="327" spans="1:22" s="36" customFormat="1" ht="12.75" hidden="1">
      <c r="A327" s="98"/>
      <c r="B327" s="39" t="s">
        <v>116</v>
      </c>
      <c r="C327" s="39">
        <v>611</v>
      </c>
      <c r="D327" s="49" t="s">
        <v>161</v>
      </c>
      <c r="E327" s="47"/>
      <c r="F327" s="52">
        <f t="shared" si="156"/>
        <v>0</v>
      </c>
      <c r="G327" s="52"/>
      <c r="H327" s="52"/>
      <c r="I327" s="52"/>
      <c r="J327" s="51">
        <f>SUM(G327:I327)</f>
        <v>0</v>
      </c>
      <c r="K327" s="52"/>
      <c r="L327" s="52"/>
      <c r="M327" s="52"/>
      <c r="N327" s="51">
        <f t="shared" si="157"/>
        <v>0</v>
      </c>
      <c r="O327" s="52"/>
      <c r="P327" s="52"/>
      <c r="Q327" s="52"/>
      <c r="R327" s="51">
        <f t="shared" si="151"/>
        <v>0</v>
      </c>
      <c r="S327" s="52"/>
      <c r="T327" s="52"/>
      <c r="U327" s="52"/>
      <c r="V327" s="51">
        <f t="shared" si="158"/>
        <v>0</v>
      </c>
    </row>
    <row r="328" spans="1:22" s="36" customFormat="1" ht="63.75" customHeight="1" hidden="1">
      <c r="A328" s="98"/>
      <c r="B328" s="41" t="s">
        <v>269</v>
      </c>
      <c r="C328" s="41">
        <v>611</v>
      </c>
      <c r="D328" s="131" t="s">
        <v>202</v>
      </c>
      <c r="E328" s="132"/>
      <c r="F328" s="52">
        <f>J328+N328+R328+V328</f>
        <v>0</v>
      </c>
      <c r="G328" s="52">
        <f>G329+G330</f>
        <v>0</v>
      </c>
      <c r="H328" s="52">
        <f>H329+H330</f>
        <v>0</v>
      </c>
      <c r="I328" s="52">
        <f>I329+I330</f>
        <v>0</v>
      </c>
      <c r="J328" s="51">
        <f>G328+H328+I328</f>
        <v>0</v>
      </c>
      <c r="K328" s="52">
        <f>K329+K330</f>
        <v>0</v>
      </c>
      <c r="L328" s="52">
        <f>L329+L330</f>
        <v>0</v>
      </c>
      <c r="M328" s="52">
        <f>M329+M330</f>
        <v>0</v>
      </c>
      <c r="N328" s="51">
        <f>K328+L328+M328</f>
        <v>0</v>
      </c>
      <c r="O328" s="52">
        <f>O329+O330</f>
        <v>0</v>
      </c>
      <c r="P328" s="52">
        <f>P329+P330</f>
        <v>0</v>
      </c>
      <c r="Q328" s="52">
        <f>Q329+Q330</f>
        <v>0</v>
      </c>
      <c r="R328" s="51">
        <f>O328+P328+Q328</f>
        <v>0</v>
      </c>
      <c r="S328" s="52">
        <f>S329+S330</f>
        <v>0</v>
      </c>
      <c r="T328" s="52">
        <f>T329+T330</f>
        <v>0</v>
      </c>
      <c r="U328" s="52">
        <f>U329+U330</f>
        <v>0</v>
      </c>
      <c r="V328" s="51">
        <f>S328+T328+U328</f>
        <v>0</v>
      </c>
    </row>
    <row r="329" spans="1:22" s="36" customFormat="1" ht="12.75" hidden="1">
      <c r="A329" s="98"/>
      <c r="B329" s="39" t="s">
        <v>90</v>
      </c>
      <c r="C329" s="39">
        <v>611</v>
      </c>
      <c r="D329" s="139" t="s">
        <v>150</v>
      </c>
      <c r="E329" s="140"/>
      <c r="F329" s="52">
        <f>J329+N329+R329+V329</f>
        <v>0</v>
      </c>
      <c r="G329" s="52"/>
      <c r="H329" s="52"/>
      <c r="I329" s="52"/>
      <c r="J329" s="51"/>
      <c r="K329" s="52"/>
      <c r="L329" s="52"/>
      <c r="M329" s="52"/>
      <c r="N329" s="51">
        <f>K329+L329+M329</f>
        <v>0</v>
      </c>
      <c r="O329" s="52"/>
      <c r="P329" s="52"/>
      <c r="Q329" s="52"/>
      <c r="R329" s="51">
        <f>O329+P329+Q329</f>
        <v>0</v>
      </c>
      <c r="S329" s="52"/>
      <c r="T329" s="52"/>
      <c r="U329" s="52"/>
      <c r="V329" s="51">
        <f>S329+T329+U329</f>
        <v>0</v>
      </c>
    </row>
    <row r="330" spans="1:22" s="36" customFormat="1" ht="12.75" hidden="1">
      <c r="A330" s="98"/>
      <c r="B330" s="39" t="s">
        <v>94</v>
      </c>
      <c r="C330" s="39">
        <v>611</v>
      </c>
      <c r="D330" s="49" t="s">
        <v>152</v>
      </c>
      <c r="E330" s="47"/>
      <c r="F330" s="52">
        <f>J330+N330+R330+V330</f>
        <v>0</v>
      </c>
      <c r="G330" s="52"/>
      <c r="H330" s="52"/>
      <c r="I330" s="52"/>
      <c r="J330" s="51"/>
      <c r="K330" s="52"/>
      <c r="L330" s="52"/>
      <c r="M330" s="52"/>
      <c r="N330" s="51">
        <f>K330+L330+M330</f>
        <v>0</v>
      </c>
      <c r="O330" s="52"/>
      <c r="P330" s="52"/>
      <c r="Q330" s="52"/>
      <c r="R330" s="51">
        <f>O330+P330+Q330</f>
        <v>0</v>
      </c>
      <c r="S330" s="52"/>
      <c r="T330" s="52"/>
      <c r="U330" s="52"/>
      <c r="V330" s="51">
        <f>S330+T330+U330</f>
        <v>0</v>
      </c>
    </row>
    <row r="331" spans="1:22" s="36" customFormat="1" ht="63" customHeight="1">
      <c r="A331" s="98"/>
      <c r="B331" s="41" t="s">
        <v>328</v>
      </c>
      <c r="C331" s="41">
        <v>611</v>
      </c>
      <c r="D331" s="137" t="s">
        <v>202</v>
      </c>
      <c r="E331" s="138"/>
      <c r="F331" s="57">
        <f t="shared" si="156"/>
        <v>1613.4199999999998</v>
      </c>
      <c r="G331" s="57">
        <f>G332+G334+G335+G337+G341+G342+G343+G344</f>
        <v>71.9</v>
      </c>
      <c r="H331" s="57">
        <f>H332+H334+H335+H337+H341+H342+H343+H344</f>
        <v>120.3</v>
      </c>
      <c r="I331" s="57">
        <f>I332+I334+I335+I337+I341+I342+I343+I344</f>
        <v>143</v>
      </c>
      <c r="J331" s="57">
        <f>SUM(G331:I331)</f>
        <v>335.2</v>
      </c>
      <c r="K331" s="57">
        <f>K332+K334+K335+K337+K341+K342+K343+K344</f>
        <v>91.5</v>
      </c>
      <c r="L331" s="57">
        <f>L332+L334+L335+L337+L341+L342+L343+L344</f>
        <v>131.5</v>
      </c>
      <c r="M331" s="57">
        <f>M332+M334+M335+M337+M341+M342+M343+M344</f>
        <v>171.09999999999997</v>
      </c>
      <c r="N331" s="57">
        <f t="shared" si="157"/>
        <v>394.09999999999997</v>
      </c>
      <c r="O331" s="57">
        <f>O332+O334+O335+O337+O341+O342+O343+O344</f>
        <v>125.59999999999998</v>
      </c>
      <c r="P331" s="57">
        <f>P332+P334+P335+P337+P341+P342+P343+P344</f>
        <v>127</v>
      </c>
      <c r="Q331" s="57">
        <f>Q332+Q334+Q335+Q337+Q341+Q342+Q343+Q344</f>
        <v>127.00000000000001</v>
      </c>
      <c r="R331" s="57">
        <f t="shared" si="151"/>
        <v>379.59999999999997</v>
      </c>
      <c r="S331" s="57">
        <f>S332+S334+S335+S337+S341+S342+S343+S344</f>
        <v>167.21999999999997</v>
      </c>
      <c r="T331" s="57">
        <f>T332+T334+T335+T337+T341+T342+T343+T344</f>
        <v>168.6</v>
      </c>
      <c r="U331" s="57">
        <f>U332+U334+U335+U337+U341+U342+U343+U344</f>
        <v>168.70000000000002</v>
      </c>
      <c r="V331" s="57">
        <f>SUM(S331:U331)</f>
        <v>504.52</v>
      </c>
    </row>
    <row r="332" spans="1:22" s="36" customFormat="1" ht="12.75">
      <c r="A332" s="98"/>
      <c r="B332" s="39" t="s">
        <v>90</v>
      </c>
      <c r="C332" s="39">
        <v>611</v>
      </c>
      <c r="D332" s="49" t="s">
        <v>150</v>
      </c>
      <c r="E332" s="47"/>
      <c r="F332" s="52">
        <f t="shared" si="156"/>
        <v>824.52</v>
      </c>
      <c r="G332" s="52">
        <v>42.9</v>
      </c>
      <c r="H332" s="52">
        <v>61</v>
      </c>
      <c r="I332" s="52">
        <v>61</v>
      </c>
      <c r="J332" s="51">
        <f>SUM(G332:I332)</f>
        <v>164.9</v>
      </c>
      <c r="K332" s="52">
        <f>68.7-30</f>
        <v>38.7</v>
      </c>
      <c r="L332" s="52">
        <v>68.7</v>
      </c>
      <c r="M332" s="52">
        <f>68.7+30</f>
        <v>98.7</v>
      </c>
      <c r="N332" s="51">
        <f t="shared" si="157"/>
        <v>206.10000000000002</v>
      </c>
      <c r="O332" s="52">
        <v>68.7</v>
      </c>
      <c r="P332" s="52">
        <v>68.7</v>
      </c>
      <c r="Q332" s="52">
        <v>68.7</v>
      </c>
      <c r="R332" s="51">
        <f t="shared" si="151"/>
        <v>206.10000000000002</v>
      </c>
      <c r="S332" s="52">
        <v>82.42</v>
      </c>
      <c r="T332" s="52">
        <v>82.5</v>
      </c>
      <c r="U332" s="52">
        <v>82.5</v>
      </c>
      <c r="V332" s="51">
        <f t="shared" si="158"/>
        <v>247.42000000000002</v>
      </c>
    </row>
    <row r="333" spans="1:22" s="36" customFormat="1" ht="12.75" hidden="1">
      <c r="A333" s="98"/>
      <c r="B333" s="39" t="s">
        <v>92</v>
      </c>
      <c r="C333" s="39">
        <v>611</v>
      </c>
      <c r="D333" s="49" t="s">
        <v>151</v>
      </c>
      <c r="E333" s="47"/>
      <c r="F333" s="52"/>
      <c r="G333" s="52"/>
      <c r="H333" s="52"/>
      <c r="I333" s="52"/>
      <c r="J333" s="51"/>
      <c r="K333" s="52"/>
      <c r="L333" s="52"/>
      <c r="M333" s="52"/>
      <c r="N333" s="51"/>
      <c r="O333" s="52"/>
      <c r="P333" s="52"/>
      <c r="Q333" s="52"/>
      <c r="R333" s="51"/>
      <c r="S333" s="52"/>
      <c r="T333" s="52"/>
      <c r="U333" s="52"/>
      <c r="V333" s="51"/>
    </row>
    <row r="334" spans="1:22" s="36" customFormat="1" ht="12.75">
      <c r="A334" s="98"/>
      <c r="B334" s="39" t="s">
        <v>94</v>
      </c>
      <c r="C334" s="39">
        <v>611</v>
      </c>
      <c r="D334" s="49" t="s">
        <v>152</v>
      </c>
      <c r="E334" s="47"/>
      <c r="F334" s="52">
        <f>J334+N334+R334+V334</f>
        <v>248.99999999999997</v>
      </c>
      <c r="G334" s="52">
        <v>13</v>
      </c>
      <c r="H334" s="52">
        <v>18.4</v>
      </c>
      <c r="I334" s="52">
        <v>18.4</v>
      </c>
      <c r="J334" s="51">
        <f>SUM(G334:I334)</f>
        <v>49.8</v>
      </c>
      <c r="K334" s="52">
        <v>11.7</v>
      </c>
      <c r="L334" s="52">
        <v>20.8</v>
      </c>
      <c r="M334" s="52">
        <v>29.8</v>
      </c>
      <c r="N334" s="51">
        <f>SUM(K334:M334)</f>
        <v>62.3</v>
      </c>
      <c r="O334" s="52">
        <v>20.7</v>
      </c>
      <c r="P334" s="52">
        <v>20.8</v>
      </c>
      <c r="Q334" s="52">
        <v>20.8</v>
      </c>
      <c r="R334" s="51">
        <f>SUM(O334:Q334)</f>
        <v>62.3</v>
      </c>
      <c r="S334" s="52">
        <v>24.8</v>
      </c>
      <c r="T334" s="52">
        <v>24.9</v>
      </c>
      <c r="U334" s="52">
        <v>24.9</v>
      </c>
      <c r="V334" s="51">
        <f>SUM(S334:U334)</f>
        <v>74.6</v>
      </c>
    </row>
    <row r="335" spans="1:22" s="36" customFormat="1" ht="12.75">
      <c r="A335" s="98"/>
      <c r="B335" s="39" t="s">
        <v>96</v>
      </c>
      <c r="C335" s="39">
        <v>611</v>
      </c>
      <c r="D335" s="49" t="s">
        <v>153</v>
      </c>
      <c r="E335" s="47"/>
      <c r="F335" s="52">
        <f>J335+N335+R335+V335</f>
        <v>21.799999999999997</v>
      </c>
      <c r="G335" s="52">
        <v>1.5</v>
      </c>
      <c r="H335" s="52">
        <v>1.6</v>
      </c>
      <c r="I335" s="52">
        <v>1.6</v>
      </c>
      <c r="J335" s="51">
        <f>SUM(G335:I335)</f>
        <v>4.7</v>
      </c>
      <c r="K335" s="52">
        <v>1.6</v>
      </c>
      <c r="L335" s="52">
        <v>1.7</v>
      </c>
      <c r="M335" s="52">
        <v>1.7</v>
      </c>
      <c r="N335" s="51">
        <f>SUM(K335:M335)</f>
        <v>5</v>
      </c>
      <c r="O335" s="52">
        <v>1.6</v>
      </c>
      <c r="P335" s="52">
        <v>1.7</v>
      </c>
      <c r="Q335" s="52">
        <v>1.7</v>
      </c>
      <c r="R335" s="51">
        <f>SUM(O335:Q335)</f>
        <v>5</v>
      </c>
      <c r="S335" s="52">
        <v>2.3</v>
      </c>
      <c r="T335" s="52">
        <v>2.4</v>
      </c>
      <c r="U335" s="52">
        <v>2.4</v>
      </c>
      <c r="V335" s="51">
        <f>SUM(S335:U335)</f>
        <v>7.1</v>
      </c>
    </row>
    <row r="336" spans="1:22" s="36" customFormat="1" ht="12.75" hidden="1">
      <c r="A336" s="98"/>
      <c r="B336" s="39" t="s">
        <v>98</v>
      </c>
      <c r="C336" s="39">
        <v>611</v>
      </c>
      <c r="D336" s="49" t="s">
        <v>154</v>
      </c>
      <c r="E336" s="47"/>
      <c r="F336" s="52"/>
      <c r="G336" s="52"/>
      <c r="H336" s="52"/>
      <c r="I336" s="52"/>
      <c r="J336" s="51"/>
      <c r="K336" s="52"/>
      <c r="L336" s="52"/>
      <c r="M336" s="52"/>
      <c r="N336" s="51"/>
      <c r="O336" s="52"/>
      <c r="P336" s="52"/>
      <c r="Q336" s="52"/>
      <c r="R336" s="51"/>
      <c r="S336" s="52"/>
      <c r="T336" s="52"/>
      <c r="U336" s="52"/>
      <c r="V336" s="51"/>
    </row>
    <row r="337" spans="1:22" s="36" customFormat="1" ht="12.75">
      <c r="A337" s="98"/>
      <c r="B337" s="39" t="s">
        <v>100</v>
      </c>
      <c r="C337" s="39">
        <v>611</v>
      </c>
      <c r="D337" s="49" t="s">
        <v>155</v>
      </c>
      <c r="E337" s="47"/>
      <c r="F337" s="52">
        <f>J337+N337+R337+V337</f>
        <v>134.9</v>
      </c>
      <c r="G337" s="52">
        <f>G338+G339+G340</f>
        <v>14.5</v>
      </c>
      <c r="H337" s="52">
        <f>SUM(H338:H340)</f>
        <v>14.6</v>
      </c>
      <c r="I337" s="52">
        <f>SUM(I338:I340)</f>
        <v>14.700000000000001</v>
      </c>
      <c r="J337" s="51">
        <f>SUM(G337:I337)</f>
        <v>43.800000000000004</v>
      </c>
      <c r="K337" s="52">
        <f>SUM(K338:K340)</f>
        <v>9.999999999999998</v>
      </c>
      <c r="L337" s="52">
        <f>SUM(L338:L340)</f>
        <v>10.1</v>
      </c>
      <c r="M337" s="52">
        <f>SUM(M338:M340)</f>
        <v>10.100000000000001</v>
      </c>
      <c r="N337" s="51">
        <f aca="true" t="shared" si="159" ref="N337:N343">SUM(K337:M337)</f>
        <v>30.2</v>
      </c>
      <c r="O337" s="52">
        <f>SUM(O338:O340)</f>
        <v>3.1</v>
      </c>
      <c r="P337" s="52">
        <f>SUM(P338:P340)</f>
        <v>3.1</v>
      </c>
      <c r="Q337" s="52">
        <f>SUM(Q338:Q340)</f>
        <v>3</v>
      </c>
      <c r="R337" s="51">
        <f aca="true" t="shared" si="160" ref="R337:R342">SUM(O337:Q337)</f>
        <v>9.2</v>
      </c>
      <c r="S337" s="52">
        <f>SUM(S338:S340)</f>
        <v>17.200000000000003</v>
      </c>
      <c r="T337" s="52">
        <f>SUM(T338:T340)</f>
        <v>17.3</v>
      </c>
      <c r="U337" s="52">
        <f>SUM(U338:U340)</f>
        <v>17.2</v>
      </c>
      <c r="V337" s="51">
        <f aca="true" t="shared" si="161" ref="V337:V342">SUM(S337:U337)</f>
        <v>51.7</v>
      </c>
    </row>
    <row r="338" spans="1:22" s="36" customFormat="1" ht="12.75">
      <c r="A338" s="98"/>
      <c r="B338" s="39" t="s">
        <v>117</v>
      </c>
      <c r="C338" s="39">
        <v>611</v>
      </c>
      <c r="D338" s="49" t="s">
        <v>155</v>
      </c>
      <c r="E338" s="47"/>
      <c r="F338" s="52">
        <f>J338+N338+R338+V338</f>
        <v>85.1</v>
      </c>
      <c r="G338" s="52">
        <v>9.3</v>
      </c>
      <c r="H338" s="52">
        <v>9.3</v>
      </c>
      <c r="I338" s="52">
        <v>9.4</v>
      </c>
      <c r="J338" s="51">
        <f>SUM(G338:I338)</f>
        <v>28</v>
      </c>
      <c r="K338" s="52">
        <v>5.6</v>
      </c>
      <c r="L338" s="52">
        <v>5.7</v>
      </c>
      <c r="M338" s="52">
        <v>5.7</v>
      </c>
      <c r="N338" s="51">
        <f t="shared" si="159"/>
        <v>17</v>
      </c>
      <c r="O338" s="61">
        <v>0</v>
      </c>
      <c r="P338" s="61">
        <v>0</v>
      </c>
      <c r="Q338" s="61">
        <v>0</v>
      </c>
      <c r="R338" s="60">
        <f t="shared" si="160"/>
        <v>0</v>
      </c>
      <c r="S338" s="52">
        <v>13.3</v>
      </c>
      <c r="T338" s="52">
        <v>13.4</v>
      </c>
      <c r="U338" s="52">
        <v>13.4</v>
      </c>
      <c r="V338" s="51">
        <f t="shared" si="161"/>
        <v>40.1</v>
      </c>
    </row>
    <row r="339" spans="1:22" s="36" customFormat="1" ht="12.75">
      <c r="A339" s="98"/>
      <c r="B339" s="39" t="s">
        <v>118</v>
      </c>
      <c r="C339" s="39">
        <v>611</v>
      </c>
      <c r="D339" s="49" t="s">
        <v>155</v>
      </c>
      <c r="E339" s="47"/>
      <c r="F339" s="52">
        <f>J339+N339+R339+V339</f>
        <v>49</v>
      </c>
      <c r="G339" s="52">
        <v>5.2</v>
      </c>
      <c r="H339" s="52">
        <v>5.2</v>
      </c>
      <c r="I339" s="52">
        <v>5.2</v>
      </c>
      <c r="J339" s="51">
        <f>SUM(G339:I339)</f>
        <v>15.600000000000001</v>
      </c>
      <c r="K339" s="52">
        <v>4.3</v>
      </c>
      <c r="L339" s="52">
        <v>4.3</v>
      </c>
      <c r="M339" s="52">
        <v>4.4</v>
      </c>
      <c r="N339" s="51">
        <f t="shared" si="159"/>
        <v>13</v>
      </c>
      <c r="O339" s="52">
        <v>3</v>
      </c>
      <c r="P339" s="52">
        <v>3</v>
      </c>
      <c r="Q339" s="52">
        <v>3</v>
      </c>
      <c r="R339" s="51">
        <f t="shared" si="160"/>
        <v>9</v>
      </c>
      <c r="S339" s="52">
        <v>3.8</v>
      </c>
      <c r="T339" s="52">
        <v>3.8</v>
      </c>
      <c r="U339" s="52">
        <v>3.8</v>
      </c>
      <c r="V339" s="51">
        <f t="shared" si="161"/>
        <v>11.399999999999999</v>
      </c>
    </row>
    <row r="340" spans="1:22" s="36" customFormat="1" ht="12.75">
      <c r="A340" s="98"/>
      <c r="B340" s="39" t="s">
        <v>119</v>
      </c>
      <c r="C340" s="39">
        <v>611</v>
      </c>
      <c r="D340" s="49" t="s">
        <v>155</v>
      </c>
      <c r="E340" s="47"/>
      <c r="F340" s="52">
        <f>J340+N340+R340+V340</f>
        <v>0.8</v>
      </c>
      <c r="G340" s="61">
        <v>0</v>
      </c>
      <c r="H340" s="52">
        <v>0.1</v>
      </c>
      <c r="I340" s="52">
        <v>0.1</v>
      </c>
      <c r="J340" s="51">
        <f>SUM(G340:I340)</f>
        <v>0.2</v>
      </c>
      <c r="K340" s="52">
        <v>0.1</v>
      </c>
      <c r="L340" s="52">
        <v>0.1</v>
      </c>
      <c r="M340" s="63">
        <v>0</v>
      </c>
      <c r="N340" s="51">
        <f t="shared" si="159"/>
        <v>0.2</v>
      </c>
      <c r="O340" s="52">
        <v>0.1</v>
      </c>
      <c r="P340" s="52">
        <v>0.1</v>
      </c>
      <c r="Q340" s="61">
        <v>0</v>
      </c>
      <c r="R340" s="51">
        <f t="shared" si="160"/>
        <v>0.2</v>
      </c>
      <c r="S340" s="52">
        <v>0.1</v>
      </c>
      <c r="T340" s="52">
        <v>0.1</v>
      </c>
      <c r="U340" s="61">
        <v>0</v>
      </c>
      <c r="V340" s="51">
        <f t="shared" si="161"/>
        <v>0.2</v>
      </c>
    </row>
    <row r="341" spans="1:22" s="36" customFormat="1" ht="12.75">
      <c r="A341" s="98"/>
      <c r="B341" s="39" t="s">
        <v>102</v>
      </c>
      <c r="C341" s="39">
        <v>611</v>
      </c>
      <c r="D341" s="49" t="s">
        <v>156</v>
      </c>
      <c r="E341" s="47"/>
      <c r="F341" s="52">
        <f>R341+V341+N341+J341</f>
        <v>122.6</v>
      </c>
      <c r="G341" s="61">
        <f>5.3-5.3</f>
        <v>0</v>
      </c>
      <c r="H341" s="52">
        <v>5.3</v>
      </c>
      <c r="I341" s="52">
        <f>5.4+5.3</f>
        <v>10.7</v>
      </c>
      <c r="J341" s="51">
        <f>SUM(G341:I341)</f>
        <v>16</v>
      </c>
      <c r="K341" s="52">
        <v>8.6</v>
      </c>
      <c r="L341" s="52">
        <v>8.7</v>
      </c>
      <c r="M341" s="52">
        <v>8.7</v>
      </c>
      <c r="N341" s="51">
        <f t="shared" si="159"/>
        <v>25.999999999999996</v>
      </c>
      <c r="O341" s="52">
        <v>10.6</v>
      </c>
      <c r="P341" s="52">
        <v>10.7</v>
      </c>
      <c r="Q341" s="52">
        <v>10.7</v>
      </c>
      <c r="R341" s="51">
        <f t="shared" si="160"/>
        <v>31.999999999999996</v>
      </c>
      <c r="S341" s="52">
        <v>16.2</v>
      </c>
      <c r="T341" s="52">
        <v>16.2</v>
      </c>
      <c r="U341" s="52">
        <v>16.2</v>
      </c>
      <c r="V341" s="51">
        <f t="shared" si="161"/>
        <v>48.599999999999994</v>
      </c>
    </row>
    <row r="342" spans="1:22" s="36" customFormat="1" ht="12.75">
      <c r="A342" s="98"/>
      <c r="B342" s="39" t="s">
        <v>104</v>
      </c>
      <c r="C342" s="39">
        <v>611</v>
      </c>
      <c r="D342" s="49" t="s">
        <v>157</v>
      </c>
      <c r="E342" s="47"/>
      <c r="F342" s="52">
        <f>R342+V342+N342+J342</f>
        <v>173.9</v>
      </c>
      <c r="G342" s="61">
        <v>0</v>
      </c>
      <c r="H342" s="52">
        <f>11.7</f>
        <v>11.7</v>
      </c>
      <c r="I342" s="52">
        <f>11.7+11.6</f>
        <v>23.299999999999997</v>
      </c>
      <c r="J342" s="51">
        <f>G342+H342+I342</f>
        <v>35</v>
      </c>
      <c r="K342" s="52">
        <v>14.3</v>
      </c>
      <c r="L342" s="52">
        <v>14.3</v>
      </c>
      <c r="M342" s="52">
        <v>14.4</v>
      </c>
      <c r="N342" s="51">
        <f t="shared" si="159"/>
        <v>43</v>
      </c>
      <c r="O342" s="52">
        <v>14.3</v>
      </c>
      <c r="P342" s="52">
        <v>14.3</v>
      </c>
      <c r="Q342" s="52">
        <v>14.4</v>
      </c>
      <c r="R342" s="51">
        <f t="shared" si="160"/>
        <v>43</v>
      </c>
      <c r="S342" s="52">
        <v>17.6</v>
      </c>
      <c r="T342" s="52">
        <v>17.6</v>
      </c>
      <c r="U342" s="52">
        <v>17.7</v>
      </c>
      <c r="V342" s="51">
        <f t="shared" si="161"/>
        <v>52.900000000000006</v>
      </c>
    </row>
    <row r="343" spans="1:22" s="36" customFormat="1" ht="12.75">
      <c r="A343" s="98"/>
      <c r="B343" s="39" t="s">
        <v>106</v>
      </c>
      <c r="C343" s="39">
        <v>611</v>
      </c>
      <c r="D343" s="49" t="s">
        <v>158</v>
      </c>
      <c r="E343" s="47"/>
      <c r="F343" s="52">
        <f>N343+R343+V343+J343</f>
        <v>30.5</v>
      </c>
      <c r="G343" s="61">
        <f>1-1</f>
        <v>0</v>
      </c>
      <c r="H343" s="52">
        <v>3</v>
      </c>
      <c r="I343" s="52">
        <f>3+1</f>
        <v>4</v>
      </c>
      <c r="J343" s="51">
        <f>G343+H343+I343</f>
        <v>7</v>
      </c>
      <c r="K343" s="52">
        <v>2</v>
      </c>
      <c r="L343" s="52">
        <v>2.5</v>
      </c>
      <c r="M343" s="52">
        <v>3</v>
      </c>
      <c r="N343" s="51">
        <f t="shared" si="159"/>
        <v>7.5</v>
      </c>
      <c r="O343" s="52">
        <v>2</v>
      </c>
      <c r="P343" s="52">
        <v>3</v>
      </c>
      <c r="Q343" s="52">
        <v>3</v>
      </c>
      <c r="R343" s="51">
        <f>Q343+O343+P343</f>
        <v>8</v>
      </c>
      <c r="S343" s="52">
        <v>2</v>
      </c>
      <c r="T343" s="52">
        <v>3</v>
      </c>
      <c r="U343" s="52">
        <v>3</v>
      </c>
      <c r="V343" s="51">
        <f>S343+T343+U343</f>
        <v>8</v>
      </c>
    </row>
    <row r="344" spans="1:22" s="36" customFormat="1" ht="12.75">
      <c r="A344" s="98"/>
      <c r="B344" s="39" t="s">
        <v>114</v>
      </c>
      <c r="C344" s="39">
        <v>611</v>
      </c>
      <c r="D344" s="49" t="s">
        <v>159</v>
      </c>
      <c r="E344" s="47"/>
      <c r="F344" s="52">
        <f>R344+V344+J344+N344</f>
        <v>56.2</v>
      </c>
      <c r="G344" s="61">
        <f>G345+G346</f>
        <v>0</v>
      </c>
      <c r="H344" s="52">
        <f>H345+H346</f>
        <v>4.7</v>
      </c>
      <c r="I344" s="52">
        <f>I345+I346</f>
        <v>9.3</v>
      </c>
      <c r="J344" s="51">
        <f>G344+H344+I344</f>
        <v>14</v>
      </c>
      <c r="K344" s="52">
        <f>K345+K346</f>
        <v>4.6</v>
      </c>
      <c r="L344" s="52">
        <f>L345+L346</f>
        <v>4.7</v>
      </c>
      <c r="M344" s="52">
        <f>M345+M346</f>
        <v>4.7</v>
      </c>
      <c r="N344" s="51">
        <f>K344+L344+M344</f>
        <v>14</v>
      </c>
      <c r="O344" s="52">
        <f>O345+O346</f>
        <v>4.6</v>
      </c>
      <c r="P344" s="52">
        <f>P345+P346</f>
        <v>4.7</v>
      </c>
      <c r="Q344" s="52">
        <f>Q345+Q346</f>
        <v>4.7</v>
      </c>
      <c r="R344" s="51">
        <f aca="true" t="shared" si="162" ref="R344:R349">SUM(O344:Q344)</f>
        <v>14</v>
      </c>
      <c r="S344" s="52">
        <f>S345+S346</f>
        <v>4.7</v>
      </c>
      <c r="T344" s="52">
        <f>T345+T346</f>
        <v>4.7</v>
      </c>
      <c r="U344" s="52">
        <f>U345+U346</f>
        <v>4.8</v>
      </c>
      <c r="V344" s="51">
        <f aca="true" t="shared" si="163" ref="V344:V349">SUM(S344:U344)</f>
        <v>14.2</v>
      </c>
    </row>
    <row r="345" spans="1:22" s="36" customFormat="1" ht="12.75" hidden="1">
      <c r="A345" s="98"/>
      <c r="B345" s="39" t="s">
        <v>108</v>
      </c>
      <c r="C345" s="39">
        <v>611</v>
      </c>
      <c r="D345" s="49" t="s">
        <v>160</v>
      </c>
      <c r="E345" s="47"/>
      <c r="F345" s="52">
        <f>R345+V345+J345+N345</f>
        <v>0</v>
      </c>
      <c r="G345" s="61"/>
      <c r="H345" s="52"/>
      <c r="I345" s="52"/>
      <c r="J345" s="51">
        <f>G345+H345+I345</f>
        <v>0</v>
      </c>
      <c r="K345" s="52"/>
      <c r="L345" s="52"/>
      <c r="M345" s="52">
        <f>97.36-97.36</f>
        <v>0</v>
      </c>
      <c r="N345" s="51">
        <f>K345+L345+M345</f>
        <v>0</v>
      </c>
      <c r="O345" s="52">
        <f>97.36-97.36</f>
        <v>0</v>
      </c>
      <c r="P345" s="52"/>
      <c r="Q345" s="52"/>
      <c r="R345" s="51">
        <f t="shared" si="162"/>
        <v>0</v>
      </c>
      <c r="S345" s="52"/>
      <c r="T345" s="52"/>
      <c r="U345" s="52"/>
      <c r="V345" s="51">
        <f t="shared" si="163"/>
        <v>0</v>
      </c>
    </row>
    <row r="346" spans="1:22" s="36" customFormat="1" ht="12.75">
      <c r="A346" s="98"/>
      <c r="B346" s="39" t="s">
        <v>110</v>
      </c>
      <c r="C346" s="39">
        <v>611</v>
      </c>
      <c r="D346" s="49" t="s">
        <v>161</v>
      </c>
      <c r="E346" s="47"/>
      <c r="F346" s="52">
        <f>R346+V346+J346+N346</f>
        <v>56.2</v>
      </c>
      <c r="G346" s="61">
        <f>G347</f>
        <v>0</v>
      </c>
      <c r="H346" s="52">
        <f>H347</f>
        <v>4.7</v>
      </c>
      <c r="I346" s="52">
        <f>I347</f>
        <v>9.3</v>
      </c>
      <c r="J346" s="51">
        <f>G346+H346+I346</f>
        <v>14</v>
      </c>
      <c r="K346" s="52">
        <f>K347</f>
        <v>4.6</v>
      </c>
      <c r="L346" s="52">
        <f>L347</f>
        <v>4.7</v>
      </c>
      <c r="M346" s="52">
        <f>M347</f>
        <v>4.7</v>
      </c>
      <c r="N346" s="51">
        <f>K346+L346+M346</f>
        <v>14</v>
      </c>
      <c r="O346" s="52">
        <f>O347</f>
        <v>4.6</v>
      </c>
      <c r="P346" s="52">
        <f>P347</f>
        <v>4.7</v>
      </c>
      <c r="Q346" s="52">
        <f>Q347</f>
        <v>4.7</v>
      </c>
      <c r="R346" s="51">
        <f t="shared" si="162"/>
        <v>14</v>
      </c>
      <c r="S346" s="52">
        <f>S347</f>
        <v>4.7</v>
      </c>
      <c r="T346" s="52">
        <f>T347</f>
        <v>4.7</v>
      </c>
      <c r="U346" s="52">
        <f>U347</f>
        <v>4.8</v>
      </c>
      <c r="V346" s="51">
        <f t="shared" si="163"/>
        <v>14.2</v>
      </c>
    </row>
    <row r="347" spans="1:22" s="36" customFormat="1" ht="12.75">
      <c r="A347" s="98"/>
      <c r="B347" s="39" t="s">
        <v>116</v>
      </c>
      <c r="C347" s="39">
        <v>611</v>
      </c>
      <c r="D347" s="49" t="s">
        <v>161</v>
      </c>
      <c r="E347" s="47"/>
      <c r="F347" s="52">
        <f>R347+V347+J347+N347</f>
        <v>56.2</v>
      </c>
      <c r="G347" s="61">
        <f>4.6-4.6</f>
        <v>0</v>
      </c>
      <c r="H347" s="52">
        <v>4.7</v>
      </c>
      <c r="I347" s="52">
        <f>4.7+4.6</f>
        <v>9.3</v>
      </c>
      <c r="J347" s="51">
        <f>SUM(G347:I347)</f>
        <v>14</v>
      </c>
      <c r="K347" s="52">
        <v>4.6</v>
      </c>
      <c r="L347" s="52">
        <v>4.7</v>
      </c>
      <c r="M347" s="52">
        <v>4.7</v>
      </c>
      <c r="N347" s="51">
        <f>SUM(K347:M347)</f>
        <v>14</v>
      </c>
      <c r="O347" s="52">
        <v>4.6</v>
      </c>
      <c r="P347" s="52">
        <v>4.7</v>
      </c>
      <c r="Q347" s="52">
        <v>4.7</v>
      </c>
      <c r="R347" s="51">
        <f t="shared" si="162"/>
        <v>14</v>
      </c>
      <c r="S347" s="52">
        <v>4.7</v>
      </c>
      <c r="T347" s="52">
        <v>4.7</v>
      </c>
      <c r="U347" s="52">
        <v>4.8</v>
      </c>
      <c r="V347" s="51">
        <f t="shared" si="163"/>
        <v>14.2</v>
      </c>
    </row>
    <row r="348" spans="1:22" s="36" customFormat="1" ht="78.75" hidden="1">
      <c r="A348" s="98" t="s">
        <v>281</v>
      </c>
      <c r="B348" s="92" t="s">
        <v>289</v>
      </c>
      <c r="C348" s="39">
        <v>612</v>
      </c>
      <c r="D348" s="139"/>
      <c r="E348" s="140"/>
      <c r="F348" s="52">
        <f>F349</f>
        <v>0</v>
      </c>
      <c r="G348" s="52">
        <f>G349</f>
        <v>0</v>
      </c>
      <c r="H348" s="52">
        <f>H349</f>
        <v>0</v>
      </c>
      <c r="I348" s="52">
        <f>I349</f>
        <v>0</v>
      </c>
      <c r="J348" s="51">
        <f>SUM(G348:I348)</f>
        <v>0</v>
      </c>
      <c r="K348" s="52">
        <f>K349</f>
        <v>0</v>
      </c>
      <c r="L348" s="52">
        <f>L349</f>
        <v>0</v>
      </c>
      <c r="M348" s="52">
        <f>M349</f>
        <v>0</v>
      </c>
      <c r="N348" s="51">
        <f>SUM(K348:M348)</f>
        <v>0</v>
      </c>
      <c r="O348" s="52">
        <f>O349</f>
        <v>0</v>
      </c>
      <c r="P348" s="52">
        <f>P349</f>
        <v>0</v>
      </c>
      <c r="Q348" s="52">
        <f>Q349</f>
        <v>0</v>
      </c>
      <c r="R348" s="51">
        <f t="shared" si="162"/>
        <v>0</v>
      </c>
      <c r="S348" s="52">
        <f>S349</f>
        <v>0</v>
      </c>
      <c r="T348" s="52">
        <f>T349</f>
        <v>0</v>
      </c>
      <c r="U348" s="52">
        <f>U349</f>
        <v>0</v>
      </c>
      <c r="V348" s="51">
        <f t="shared" si="163"/>
        <v>0</v>
      </c>
    </row>
    <row r="349" spans="1:22" s="36" customFormat="1" ht="26.25" hidden="1">
      <c r="A349" s="98"/>
      <c r="B349" s="43" t="s">
        <v>249</v>
      </c>
      <c r="C349" s="39">
        <v>612</v>
      </c>
      <c r="D349" s="139" t="s">
        <v>160</v>
      </c>
      <c r="E349" s="140"/>
      <c r="F349" s="52">
        <f>J349+N349+R349+V349</f>
        <v>0</v>
      </c>
      <c r="G349" s="52"/>
      <c r="H349" s="52"/>
      <c r="I349" s="52"/>
      <c r="J349" s="51">
        <f>SUM(G349:I349)</f>
        <v>0</v>
      </c>
      <c r="K349" s="52"/>
      <c r="L349" s="52"/>
      <c r="M349" s="52"/>
      <c r="N349" s="51">
        <f>SUM(K349:M349)</f>
        <v>0</v>
      </c>
      <c r="O349" s="52"/>
      <c r="P349" s="52"/>
      <c r="Q349" s="52"/>
      <c r="R349" s="51">
        <f t="shared" si="162"/>
        <v>0</v>
      </c>
      <c r="S349" s="52"/>
      <c r="T349" s="52"/>
      <c r="U349" s="52"/>
      <c r="V349" s="51">
        <f t="shared" si="163"/>
        <v>0</v>
      </c>
    </row>
    <row r="350" spans="1:22" s="36" customFormat="1" ht="60.75" customHeight="1">
      <c r="A350" s="98"/>
      <c r="B350" s="93" t="s">
        <v>253</v>
      </c>
      <c r="C350" s="40">
        <v>611</v>
      </c>
      <c r="D350" s="139"/>
      <c r="E350" s="140"/>
      <c r="F350" s="50">
        <f aca="true" t="shared" si="164" ref="F350:V350">F351</f>
        <v>5187.7</v>
      </c>
      <c r="G350" s="54">
        <f t="shared" si="164"/>
        <v>432.2</v>
      </c>
      <c r="H350" s="54">
        <f t="shared" si="164"/>
        <v>432.3</v>
      </c>
      <c r="I350" s="54">
        <f t="shared" si="164"/>
        <v>432.3</v>
      </c>
      <c r="J350" s="50">
        <f t="shared" si="164"/>
        <v>1296.8</v>
      </c>
      <c r="K350" s="54">
        <f t="shared" si="164"/>
        <v>432.2</v>
      </c>
      <c r="L350" s="54">
        <f t="shared" si="164"/>
        <v>432.3</v>
      </c>
      <c r="M350" s="54">
        <f t="shared" si="164"/>
        <v>432.40000000000003</v>
      </c>
      <c r="N350" s="50">
        <f t="shared" si="164"/>
        <v>1296.9</v>
      </c>
      <c r="O350" s="54">
        <f t="shared" si="164"/>
        <v>432.2</v>
      </c>
      <c r="P350" s="54">
        <f t="shared" si="164"/>
        <v>432.40000000000003</v>
      </c>
      <c r="Q350" s="54">
        <f t="shared" si="164"/>
        <v>432.40000000000003</v>
      </c>
      <c r="R350" s="50">
        <f t="shared" si="164"/>
        <v>1297</v>
      </c>
      <c r="S350" s="54">
        <f t="shared" si="164"/>
        <v>432.2</v>
      </c>
      <c r="T350" s="54">
        <f t="shared" si="164"/>
        <v>432.40000000000003</v>
      </c>
      <c r="U350" s="54">
        <f t="shared" si="164"/>
        <v>432.40000000000003</v>
      </c>
      <c r="V350" s="50">
        <f t="shared" si="164"/>
        <v>1297</v>
      </c>
    </row>
    <row r="351" spans="1:22" s="36" customFormat="1" ht="27" customHeight="1">
      <c r="A351" s="98"/>
      <c r="B351" s="39" t="s">
        <v>112</v>
      </c>
      <c r="C351" s="39">
        <v>611</v>
      </c>
      <c r="D351" s="139" t="s">
        <v>149</v>
      </c>
      <c r="E351" s="140"/>
      <c r="F351" s="51">
        <f>J351+N351+R351+V351</f>
        <v>5187.7</v>
      </c>
      <c r="G351" s="52">
        <f>G352+G353</f>
        <v>432.2</v>
      </c>
      <c r="H351" s="52">
        <f>H352+H353</f>
        <v>432.3</v>
      </c>
      <c r="I351" s="52">
        <f>I352+I353</f>
        <v>432.3</v>
      </c>
      <c r="J351" s="51">
        <f>G351+H351+I351</f>
        <v>1296.8</v>
      </c>
      <c r="K351" s="52">
        <f>K352+K353</f>
        <v>432.2</v>
      </c>
      <c r="L351" s="52">
        <f>L352+L353</f>
        <v>432.3</v>
      </c>
      <c r="M351" s="52">
        <f>M352+M353</f>
        <v>432.40000000000003</v>
      </c>
      <c r="N351" s="51">
        <f>K351+L351+M351</f>
        <v>1296.9</v>
      </c>
      <c r="O351" s="52">
        <f>O352+O353</f>
        <v>432.2</v>
      </c>
      <c r="P351" s="52">
        <f>P352+P353</f>
        <v>432.40000000000003</v>
      </c>
      <c r="Q351" s="52">
        <f>Q352+Q353</f>
        <v>432.40000000000003</v>
      </c>
      <c r="R351" s="51">
        <f>O351+P351+Q351</f>
        <v>1297</v>
      </c>
      <c r="S351" s="52">
        <f>S352+S353</f>
        <v>432.2</v>
      </c>
      <c r="T351" s="52">
        <f>T352+T353</f>
        <v>432.40000000000003</v>
      </c>
      <c r="U351" s="52">
        <f>U352+U353</f>
        <v>432.40000000000003</v>
      </c>
      <c r="V351" s="51">
        <f>S351+T351+U351</f>
        <v>1297</v>
      </c>
    </row>
    <row r="352" spans="1:22" s="36" customFormat="1" ht="12.75">
      <c r="A352" s="98"/>
      <c r="B352" s="39" t="s">
        <v>90</v>
      </c>
      <c r="C352" s="39">
        <v>611</v>
      </c>
      <c r="D352" s="139" t="s">
        <v>150</v>
      </c>
      <c r="E352" s="140"/>
      <c r="F352" s="51">
        <f>J352+N352+R352+V352</f>
        <v>3984.5</v>
      </c>
      <c r="G352" s="52">
        <v>332</v>
      </c>
      <c r="H352" s="52">
        <v>332</v>
      </c>
      <c r="I352" s="52">
        <v>332</v>
      </c>
      <c r="J352" s="51">
        <f>G352+H352+I352</f>
        <v>996</v>
      </c>
      <c r="K352" s="52">
        <v>332</v>
      </c>
      <c r="L352" s="52">
        <v>332</v>
      </c>
      <c r="M352" s="52">
        <v>332.1</v>
      </c>
      <c r="N352" s="51">
        <f>K352+L352+M352</f>
        <v>996.1</v>
      </c>
      <c r="O352" s="52">
        <v>332</v>
      </c>
      <c r="P352" s="52">
        <v>332.1</v>
      </c>
      <c r="Q352" s="52">
        <v>332.1</v>
      </c>
      <c r="R352" s="51">
        <f>O352+P352+Q352</f>
        <v>996.2</v>
      </c>
      <c r="S352" s="52">
        <v>332</v>
      </c>
      <c r="T352" s="52">
        <v>332.1</v>
      </c>
      <c r="U352" s="52">
        <v>332.1</v>
      </c>
      <c r="V352" s="51">
        <f>S352+T352+U352</f>
        <v>996.2</v>
      </c>
    </row>
    <row r="353" spans="1:22" s="36" customFormat="1" ht="12.75">
      <c r="A353" s="98"/>
      <c r="B353" s="39" t="s">
        <v>94</v>
      </c>
      <c r="C353" s="39">
        <v>611</v>
      </c>
      <c r="D353" s="139" t="s">
        <v>152</v>
      </c>
      <c r="E353" s="140"/>
      <c r="F353" s="51">
        <f>J353+N353+R353+V353</f>
        <v>1203.2</v>
      </c>
      <c r="G353" s="52">
        <v>100.2</v>
      </c>
      <c r="H353" s="52">
        <v>100.3</v>
      </c>
      <c r="I353" s="52">
        <v>100.3</v>
      </c>
      <c r="J353" s="51">
        <f>G353+H353+I353</f>
        <v>300.8</v>
      </c>
      <c r="K353" s="52">
        <v>100.2</v>
      </c>
      <c r="L353" s="52">
        <v>100.3</v>
      </c>
      <c r="M353" s="52">
        <v>100.3</v>
      </c>
      <c r="N353" s="51">
        <f>K353+L353+M353</f>
        <v>300.8</v>
      </c>
      <c r="O353" s="52">
        <v>100.2</v>
      </c>
      <c r="P353" s="52">
        <v>100.3</v>
      </c>
      <c r="Q353" s="52">
        <v>100.3</v>
      </c>
      <c r="R353" s="51">
        <f>O353+P353+Q353</f>
        <v>300.8</v>
      </c>
      <c r="S353" s="52">
        <v>100.2</v>
      </c>
      <c r="T353" s="52">
        <v>100.3</v>
      </c>
      <c r="U353" s="52">
        <v>100.3</v>
      </c>
      <c r="V353" s="51">
        <f>S353+T353+U353</f>
        <v>300.8</v>
      </c>
    </row>
    <row r="354" spans="1:22" s="36" customFormat="1" ht="66" customHeight="1">
      <c r="A354" s="98"/>
      <c r="B354" s="40" t="s">
        <v>254</v>
      </c>
      <c r="C354" s="40">
        <v>611</v>
      </c>
      <c r="D354" s="139"/>
      <c r="E354" s="140"/>
      <c r="F354" s="50">
        <f aca="true" t="shared" si="165" ref="F354:V354">F355</f>
        <v>273.1</v>
      </c>
      <c r="G354" s="54">
        <f t="shared" si="165"/>
        <v>22.599999999999998</v>
      </c>
      <c r="H354" s="54">
        <f t="shared" si="165"/>
        <v>22.8</v>
      </c>
      <c r="I354" s="54">
        <f t="shared" si="165"/>
        <v>22.8</v>
      </c>
      <c r="J354" s="50">
        <f t="shared" si="165"/>
        <v>68.2</v>
      </c>
      <c r="K354" s="54">
        <f t="shared" si="165"/>
        <v>22.599999999999998</v>
      </c>
      <c r="L354" s="54">
        <f t="shared" si="165"/>
        <v>22.8</v>
      </c>
      <c r="M354" s="54">
        <f t="shared" si="165"/>
        <v>22.8</v>
      </c>
      <c r="N354" s="50">
        <f t="shared" si="165"/>
        <v>68.2</v>
      </c>
      <c r="O354" s="54">
        <f t="shared" si="165"/>
        <v>22.8</v>
      </c>
      <c r="P354" s="54">
        <f t="shared" si="165"/>
        <v>22.8</v>
      </c>
      <c r="Q354" s="54">
        <f t="shared" si="165"/>
        <v>22.8</v>
      </c>
      <c r="R354" s="50">
        <f t="shared" si="165"/>
        <v>68.4</v>
      </c>
      <c r="S354" s="54">
        <f t="shared" si="165"/>
        <v>22.7</v>
      </c>
      <c r="T354" s="54">
        <f t="shared" si="165"/>
        <v>22.8</v>
      </c>
      <c r="U354" s="54">
        <f t="shared" si="165"/>
        <v>22.8</v>
      </c>
      <c r="V354" s="50">
        <f t="shared" si="165"/>
        <v>68.3</v>
      </c>
    </row>
    <row r="355" spans="1:22" s="36" customFormat="1" ht="20.25" customHeight="1">
      <c r="A355" s="98"/>
      <c r="B355" s="39" t="s">
        <v>112</v>
      </c>
      <c r="C355" s="39">
        <v>611</v>
      </c>
      <c r="D355" s="49" t="s">
        <v>149</v>
      </c>
      <c r="E355" s="47"/>
      <c r="F355" s="51">
        <f aca="true" t="shared" si="166" ref="F355:F379">J355+N355+R355+V355</f>
        <v>273.1</v>
      </c>
      <c r="G355" s="52">
        <f>G356+G357</f>
        <v>22.599999999999998</v>
      </c>
      <c r="H355" s="52">
        <f>H356+H357</f>
        <v>22.8</v>
      </c>
      <c r="I355" s="52">
        <f>I356+I357</f>
        <v>22.8</v>
      </c>
      <c r="J355" s="51">
        <f>G355+H355+I355</f>
        <v>68.2</v>
      </c>
      <c r="K355" s="52">
        <f>K356+K357</f>
        <v>22.599999999999998</v>
      </c>
      <c r="L355" s="52">
        <f>L356+L357</f>
        <v>22.8</v>
      </c>
      <c r="M355" s="52">
        <f>M356+M357</f>
        <v>22.8</v>
      </c>
      <c r="N355" s="51">
        <f>K355+L355+M355</f>
        <v>68.2</v>
      </c>
      <c r="O355" s="52">
        <f>O356+O357</f>
        <v>22.8</v>
      </c>
      <c r="P355" s="52">
        <f>P356+P357</f>
        <v>22.8</v>
      </c>
      <c r="Q355" s="52">
        <f>Q356+Q357</f>
        <v>22.8</v>
      </c>
      <c r="R355" s="51">
        <f>O355+P355+Q355</f>
        <v>68.4</v>
      </c>
      <c r="S355" s="52">
        <f>S356+S357</f>
        <v>22.7</v>
      </c>
      <c r="T355" s="52">
        <f>T356+T357</f>
        <v>22.8</v>
      </c>
      <c r="U355" s="52">
        <f>U356+U357</f>
        <v>22.8</v>
      </c>
      <c r="V355" s="51">
        <f>S355+T355+U355</f>
        <v>68.3</v>
      </c>
    </row>
    <row r="356" spans="1:22" s="36" customFormat="1" ht="12.75">
      <c r="A356" s="98"/>
      <c r="B356" s="39" t="s">
        <v>90</v>
      </c>
      <c r="C356" s="39">
        <v>611</v>
      </c>
      <c r="D356" s="49" t="s">
        <v>150</v>
      </c>
      <c r="E356" s="47"/>
      <c r="F356" s="51">
        <f t="shared" si="166"/>
        <v>209.8</v>
      </c>
      <c r="G356" s="52">
        <v>17.4</v>
      </c>
      <c r="H356" s="52">
        <v>17.5</v>
      </c>
      <c r="I356" s="52">
        <v>17.5</v>
      </c>
      <c r="J356" s="51">
        <f>G356+H356+I356</f>
        <v>52.4</v>
      </c>
      <c r="K356" s="52">
        <v>17.4</v>
      </c>
      <c r="L356" s="52">
        <v>17.5</v>
      </c>
      <c r="M356" s="52">
        <v>17.5</v>
      </c>
      <c r="N356" s="51">
        <f>K356+L356+M356</f>
        <v>52.4</v>
      </c>
      <c r="O356" s="52">
        <v>17.5</v>
      </c>
      <c r="P356" s="52">
        <v>17.5</v>
      </c>
      <c r="Q356" s="52">
        <v>17.5</v>
      </c>
      <c r="R356" s="51">
        <f>O356+P356+Q356</f>
        <v>52.5</v>
      </c>
      <c r="S356" s="52">
        <v>17.5</v>
      </c>
      <c r="T356" s="52">
        <v>17.5</v>
      </c>
      <c r="U356" s="52">
        <v>17.5</v>
      </c>
      <c r="V356" s="51">
        <f>S356+T356+U356</f>
        <v>52.5</v>
      </c>
    </row>
    <row r="357" spans="1:22" s="36" customFormat="1" ht="12.75">
      <c r="A357" s="98"/>
      <c r="B357" s="39" t="s">
        <v>94</v>
      </c>
      <c r="C357" s="39">
        <v>611</v>
      </c>
      <c r="D357" s="49" t="s">
        <v>152</v>
      </c>
      <c r="E357" s="47"/>
      <c r="F357" s="51">
        <f t="shared" si="166"/>
        <v>63.3</v>
      </c>
      <c r="G357" s="52">
        <v>5.2</v>
      </c>
      <c r="H357" s="52">
        <v>5.3</v>
      </c>
      <c r="I357" s="52">
        <v>5.3</v>
      </c>
      <c r="J357" s="51">
        <f>G357+H357+I357</f>
        <v>15.8</v>
      </c>
      <c r="K357" s="52">
        <v>5.2</v>
      </c>
      <c r="L357" s="52">
        <v>5.3</v>
      </c>
      <c r="M357" s="52">
        <v>5.3</v>
      </c>
      <c r="N357" s="51">
        <f>K357+L357+M357</f>
        <v>15.8</v>
      </c>
      <c r="O357" s="52">
        <v>5.3</v>
      </c>
      <c r="P357" s="52">
        <v>5.3</v>
      </c>
      <c r="Q357" s="52">
        <v>5.3</v>
      </c>
      <c r="R357" s="51">
        <f>O357+P357+Q357</f>
        <v>15.899999999999999</v>
      </c>
      <c r="S357" s="52">
        <v>5.2</v>
      </c>
      <c r="T357" s="52">
        <v>5.3</v>
      </c>
      <c r="U357" s="52">
        <v>5.3</v>
      </c>
      <c r="V357" s="51">
        <f>S357+T357+U357</f>
        <v>15.8</v>
      </c>
    </row>
    <row r="358" spans="1:22" s="36" customFormat="1" ht="18" customHeight="1">
      <c r="A358" s="98"/>
      <c r="B358" s="40" t="s">
        <v>141</v>
      </c>
      <c r="C358" s="40"/>
      <c r="D358" s="139"/>
      <c r="E358" s="140"/>
      <c r="F358" s="54">
        <f t="shared" si="166"/>
        <v>383.4</v>
      </c>
      <c r="G358" s="54">
        <f>G359</f>
        <v>31.9</v>
      </c>
      <c r="H358" s="54">
        <f>H359</f>
        <v>31.9</v>
      </c>
      <c r="I358" s="54">
        <f>I359</f>
        <v>32</v>
      </c>
      <c r="J358" s="50">
        <f aca="true" t="shared" si="167" ref="J358:J363">SUM(G358:I358)</f>
        <v>95.8</v>
      </c>
      <c r="K358" s="54">
        <f>K359</f>
        <v>31.9</v>
      </c>
      <c r="L358" s="54">
        <f>L359</f>
        <v>31.9</v>
      </c>
      <c r="M358" s="54">
        <f>M359</f>
        <v>32</v>
      </c>
      <c r="N358" s="50">
        <f aca="true" t="shared" si="168" ref="N358:N363">SUM(K358:M358)</f>
        <v>95.8</v>
      </c>
      <c r="O358" s="54">
        <f>O359</f>
        <v>31.9</v>
      </c>
      <c r="P358" s="54">
        <f>P359</f>
        <v>32</v>
      </c>
      <c r="Q358" s="54">
        <f>Q359</f>
        <v>32</v>
      </c>
      <c r="R358" s="50">
        <f aca="true" t="shared" si="169" ref="R358:R363">SUM(O358:Q358)</f>
        <v>95.9</v>
      </c>
      <c r="S358" s="54">
        <f>S359</f>
        <v>31.9</v>
      </c>
      <c r="T358" s="54">
        <f>T359</f>
        <v>32</v>
      </c>
      <c r="U358" s="54">
        <f>U359</f>
        <v>32</v>
      </c>
      <c r="V358" s="50">
        <f aca="true" t="shared" si="170" ref="V358:V363">SUM(S358:U358)</f>
        <v>95.9</v>
      </c>
    </row>
    <row r="359" spans="1:22" s="36" customFormat="1" ht="20.25" customHeight="1">
      <c r="A359" s="98"/>
      <c r="B359" s="39" t="s">
        <v>142</v>
      </c>
      <c r="C359" s="39">
        <v>300</v>
      </c>
      <c r="D359" s="131" t="s">
        <v>143</v>
      </c>
      <c r="E359" s="132"/>
      <c r="F359" s="52">
        <f t="shared" si="166"/>
        <v>383.4</v>
      </c>
      <c r="G359" s="52">
        <v>31.9</v>
      </c>
      <c r="H359" s="52">
        <v>31.9</v>
      </c>
      <c r="I359" s="52">
        <v>32</v>
      </c>
      <c r="J359" s="51">
        <f t="shared" si="167"/>
        <v>95.8</v>
      </c>
      <c r="K359" s="52">
        <v>31.9</v>
      </c>
      <c r="L359" s="52">
        <v>31.9</v>
      </c>
      <c r="M359" s="52">
        <v>32</v>
      </c>
      <c r="N359" s="51">
        <f t="shared" si="168"/>
        <v>95.8</v>
      </c>
      <c r="O359" s="52">
        <v>31.9</v>
      </c>
      <c r="P359" s="52">
        <v>32</v>
      </c>
      <c r="Q359" s="52">
        <v>32</v>
      </c>
      <c r="R359" s="51">
        <f t="shared" si="169"/>
        <v>95.9</v>
      </c>
      <c r="S359" s="52">
        <v>31.9</v>
      </c>
      <c r="T359" s="52">
        <v>32</v>
      </c>
      <c r="U359" s="52">
        <v>32</v>
      </c>
      <c r="V359" s="51">
        <f t="shared" si="170"/>
        <v>95.9</v>
      </c>
    </row>
    <row r="360" spans="1:22" s="36" customFormat="1" ht="18" customHeight="1">
      <c r="A360" s="98"/>
      <c r="B360" s="40" t="s">
        <v>243</v>
      </c>
      <c r="C360" s="39"/>
      <c r="D360" s="131"/>
      <c r="E360" s="132"/>
      <c r="F360" s="54">
        <f t="shared" si="166"/>
        <v>121.7</v>
      </c>
      <c r="G360" s="66">
        <f>G361</f>
        <v>0</v>
      </c>
      <c r="H360" s="54">
        <f>H361</f>
        <v>121.7</v>
      </c>
      <c r="I360" s="54">
        <f>I361</f>
        <v>0</v>
      </c>
      <c r="J360" s="50">
        <f t="shared" si="167"/>
        <v>121.7</v>
      </c>
      <c r="K360" s="66">
        <f>K361</f>
        <v>0</v>
      </c>
      <c r="L360" s="66">
        <f>L361</f>
        <v>0</v>
      </c>
      <c r="M360" s="66">
        <f>M361</f>
        <v>0</v>
      </c>
      <c r="N360" s="64">
        <f t="shared" si="168"/>
        <v>0</v>
      </c>
      <c r="O360" s="66">
        <f>O361</f>
        <v>0</v>
      </c>
      <c r="P360" s="66">
        <f>P361</f>
        <v>0</v>
      </c>
      <c r="Q360" s="66">
        <f>Q361</f>
        <v>0</v>
      </c>
      <c r="R360" s="64">
        <f t="shared" si="169"/>
        <v>0</v>
      </c>
      <c r="S360" s="66">
        <f>S361</f>
        <v>0</v>
      </c>
      <c r="T360" s="66">
        <f>T361</f>
        <v>0</v>
      </c>
      <c r="U360" s="66">
        <f>U361</f>
        <v>0</v>
      </c>
      <c r="V360" s="64">
        <f t="shared" si="170"/>
        <v>0</v>
      </c>
    </row>
    <row r="361" spans="1:22" s="36" customFormat="1" ht="72" customHeight="1">
      <c r="A361" s="98"/>
      <c r="B361" s="44" t="s">
        <v>245</v>
      </c>
      <c r="C361" s="107">
        <v>321</v>
      </c>
      <c r="D361" s="156" t="s">
        <v>244</v>
      </c>
      <c r="E361" s="157"/>
      <c r="F361" s="59">
        <f t="shared" si="166"/>
        <v>121.7</v>
      </c>
      <c r="G361" s="71">
        <v>0</v>
      </c>
      <c r="H361" s="59">
        <v>121.7</v>
      </c>
      <c r="I361" s="59">
        <v>0</v>
      </c>
      <c r="J361" s="125">
        <f t="shared" si="167"/>
        <v>121.7</v>
      </c>
      <c r="K361" s="71">
        <v>0</v>
      </c>
      <c r="L361" s="71">
        <v>0</v>
      </c>
      <c r="M361" s="71">
        <v>0</v>
      </c>
      <c r="N361" s="72">
        <f t="shared" si="168"/>
        <v>0</v>
      </c>
      <c r="O361" s="71">
        <v>0</v>
      </c>
      <c r="P361" s="71">
        <v>0</v>
      </c>
      <c r="Q361" s="71">
        <v>0</v>
      </c>
      <c r="R361" s="72">
        <f t="shared" si="169"/>
        <v>0</v>
      </c>
      <c r="S361" s="71">
        <v>0</v>
      </c>
      <c r="T361" s="71">
        <v>0</v>
      </c>
      <c r="U361" s="71">
        <v>0</v>
      </c>
      <c r="V361" s="72">
        <f t="shared" si="170"/>
        <v>0</v>
      </c>
    </row>
    <row r="362" spans="1:22" s="36" customFormat="1" ht="84" customHeight="1" hidden="1">
      <c r="A362" s="98"/>
      <c r="B362" s="109" t="s">
        <v>286</v>
      </c>
      <c r="C362" s="107"/>
      <c r="D362" s="156"/>
      <c r="E362" s="157"/>
      <c r="F362" s="111">
        <f t="shared" si="166"/>
        <v>0</v>
      </c>
      <c r="G362" s="111">
        <f>G363+G365</f>
        <v>0</v>
      </c>
      <c r="H362" s="111">
        <f>H363+H365</f>
        <v>0</v>
      </c>
      <c r="I362" s="111">
        <f>I363+I365</f>
        <v>0</v>
      </c>
      <c r="J362" s="126">
        <f t="shared" si="167"/>
        <v>0</v>
      </c>
      <c r="K362" s="111">
        <f>K363+K365</f>
        <v>0</v>
      </c>
      <c r="L362" s="111">
        <f>L363+L365</f>
        <v>0</v>
      </c>
      <c r="M362" s="111">
        <f>M363+M365</f>
        <v>0</v>
      </c>
      <c r="N362" s="126">
        <f t="shared" si="168"/>
        <v>0</v>
      </c>
      <c r="O362" s="111">
        <f>O363+O365</f>
        <v>0</v>
      </c>
      <c r="P362" s="111">
        <f>P363+P365</f>
        <v>0</v>
      </c>
      <c r="Q362" s="111">
        <f>Q363+Q365</f>
        <v>0</v>
      </c>
      <c r="R362" s="126">
        <f t="shared" si="169"/>
        <v>0</v>
      </c>
      <c r="S362" s="113">
        <f>S363+S365</f>
        <v>0</v>
      </c>
      <c r="T362" s="113">
        <f>T363+T365</f>
        <v>0</v>
      </c>
      <c r="U362" s="113">
        <f>U363+U365</f>
        <v>0</v>
      </c>
      <c r="V362" s="112">
        <f t="shared" si="170"/>
        <v>0</v>
      </c>
    </row>
    <row r="363" spans="1:22" s="36" customFormat="1" ht="63" customHeight="1" hidden="1">
      <c r="A363" s="98"/>
      <c r="B363" s="76" t="s">
        <v>270</v>
      </c>
      <c r="C363" s="107">
        <v>300</v>
      </c>
      <c r="D363" s="156"/>
      <c r="E363" s="157"/>
      <c r="F363" s="59">
        <f t="shared" si="166"/>
        <v>0</v>
      </c>
      <c r="G363" s="59">
        <f>G364</f>
        <v>0</v>
      </c>
      <c r="H363" s="59">
        <f>H364</f>
        <v>0</v>
      </c>
      <c r="I363" s="59">
        <f>I364</f>
        <v>0</v>
      </c>
      <c r="J363" s="125">
        <f t="shared" si="167"/>
        <v>0</v>
      </c>
      <c r="K363" s="59">
        <f>K364</f>
        <v>0</v>
      </c>
      <c r="L363" s="59">
        <f>L364</f>
        <v>0</v>
      </c>
      <c r="M363" s="59">
        <f>M364</f>
        <v>0</v>
      </c>
      <c r="N363" s="125">
        <f t="shared" si="168"/>
        <v>0</v>
      </c>
      <c r="O363" s="59">
        <f>O364</f>
        <v>0</v>
      </c>
      <c r="P363" s="59">
        <f>P364</f>
        <v>0</v>
      </c>
      <c r="Q363" s="59">
        <f>Q364</f>
        <v>0</v>
      </c>
      <c r="R363" s="125">
        <f t="shared" si="169"/>
        <v>0</v>
      </c>
      <c r="S363" s="71">
        <f>S364</f>
        <v>0</v>
      </c>
      <c r="T363" s="71">
        <f>T364</f>
        <v>0</v>
      </c>
      <c r="U363" s="71">
        <f>U364</f>
        <v>0</v>
      </c>
      <c r="V363" s="72">
        <f t="shared" si="170"/>
        <v>0</v>
      </c>
    </row>
    <row r="364" spans="1:22" s="36" customFormat="1" ht="18" customHeight="1" hidden="1">
      <c r="A364" s="98"/>
      <c r="B364" s="76" t="s">
        <v>287</v>
      </c>
      <c r="C364" s="107">
        <v>322</v>
      </c>
      <c r="D364" s="156" t="s">
        <v>244</v>
      </c>
      <c r="E364" s="157"/>
      <c r="F364" s="59">
        <f t="shared" si="166"/>
        <v>0</v>
      </c>
      <c r="G364" s="59"/>
      <c r="H364" s="59"/>
      <c r="I364" s="59"/>
      <c r="J364" s="125">
        <f>G364+H364+I364</f>
        <v>0</v>
      </c>
      <c r="K364" s="59"/>
      <c r="L364" s="59"/>
      <c r="M364" s="59">
        <f>5031.18244-5031.18244</f>
        <v>0</v>
      </c>
      <c r="N364" s="125">
        <f>K364+L364+M364</f>
        <v>0</v>
      </c>
      <c r="O364" s="59"/>
      <c r="P364" s="59"/>
      <c r="Q364" s="59"/>
      <c r="R364" s="125">
        <f>O364+P364+Q364</f>
        <v>0</v>
      </c>
      <c r="S364" s="71"/>
      <c r="T364" s="71"/>
      <c r="U364" s="71"/>
      <c r="V364" s="72">
        <f>S364+T364+U364</f>
        <v>0</v>
      </c>
    </row>
    <row r="365" spans="1:22" s="36" customFormat="1" ht="71.25" customHeight="1" hidden="1">
      <c r="A365" s="98"/>
      <c r="B365" s="44" t="s">
        <v>275</v>
      </c>
      <c r="C365" s="107">
        <v>300</v>
      </c>
      <c r="D365" s="156"/>
      <c r="E365" s="157"/>
      <c r="F365" s="59">
        <f t="shared" si="166"/>
        <v>0</v>
      </c>
      <c r="G365" s="59">
        <f>G366</f>
        <v>0</v>
      </c>
      <c r="H365" s="59">
        <f>H366</f>
        <v>0</v>
      </c>
      <c r="I365" s="59">
        <f>I366</f>
        <v>0</v>
      </c>
      <c r="J365" s="125">
        <f aca="true" t="shared" si="171" ref="J365:J379">SUM(G365:I365)</f>
        <v>0</v>
      </c>
      <c r="K365" s="59">
        <f>K366</f>
        <v>0</v>
      </c>
      <c r="L365" s="59">
        <f>L366</f>
        <v>0</v>
      </c>
      <c r="M365" s="59">
        <f>M366</f>
        <v>0</v>
      </c>
      <c r="N365" s="125">
        <f aca="true" t="shared" si="172" ref="N365:N384">SUM(K365:M365)</f>
        <v>0</v>
      </c>
      <c r="O365" s="59">
        <f>O366</f>
        <v>0</v>
      </c>
      <c r="P365" s="59">
        <f>P366</f>
        <v>0</v>
      </c>
      <c r="Q365" s="59">
        <f>Q366</f>
        <v>0</v>
      </c>
      <c r="R365" s="125">
        <f>SUM(O365:Q365)</f>
        <v>0</v>
      </c>
      <c r="S365" s="71">
        <f>S366</f>
        <v>0</v>
      </c>
      <c r="T365" s="71">
        <f>T366</f>
        <v>0</v>
      </c>
      <c r="U365" s="71">
        <f>U366</f>
        <v>0</v>
      </c>
      <c r="V365" s="72">
        <f aca="true" t="shared" si="173" ref="V365:V376">SUM(S365:U365)</f>
        <v>0</v>
      </c>
    </row>
    <row r="366" spans="1:22" s="36" customFormat="1" ht="16.5" customHeight="1" hidden="1">
      <c r="A366" s="98"/>
      <c r="B366" s="110" t="s">
        <v>261</v>
      </c>
      <c r="C366" s="107">
        <v>322</v>
      </c>
      <c r="D366" s="156" t="s">
        <v>244</v>
      </c>
      <c r="E366" s="157"/>
      <c r="F366" s="59">
        <f t="shared" si="166"/>
        <v>0</v>
      </c>
      <c r="G366" s="59"/>
      <c r="H366" s="59"/>
      <c r="I366" s="59"/>
      <c r="J366" s="125">
        <f t="shared" si="171"/>
        <v>0</v>
      </c>
      <c r="K366" s="59"/>
      <c r="L366" s="59"/>
      <c r="M366" s="59">
        <f>559.02027-559.02027</f>
        <v>0</v>
      </c>
      <c r="N366" s="125">
        <f t="shared" si="172"/>
        <v>0</v>
      </c>
      <c r="O366" s="59"/>
      <c r="P366" s="59"/>
      <c r="Q366" s="59"/>
      <c r="R366" s="125">
        <f>SUM(O366:Q366)</f>
        <v>0</v>
      </c>
      <c r="S366" s="71"/>
      <c r="T366" s="71"/>
      <c r="U366" s="71"/>
      <c r="V366" s="72">
        <f t="shared" si="173"/>
        <v>0</v>
      </c>
    </row>
    <row r="367" spans="1:22" s="36" customFormat="1" ht="84" customHeight="1" hidden="1">
      <c r="A367" s="98"/>
      <c r="B367" s="109" t="s">
        <v>286</v>
      </c>
      <c r="C367" s="107"/>
      <c r="D367" s="156"/>
      <c r="E367" s="157"/>
      <c r="F367" s="111">
        <f>J367+N367+R367+V367</f>
        <v>0</v>
      </c>
      <c r="G367" s="111">
        <f>G368+G370</f>
        <v>0</v>
      </c>
      <c r="H367" s="111">
        <f>H368+H370</f>
        <v>0</v>
      </c>
      <c r="I367" s="111">
        <f>I368+I370</f>
        <v>0</v>
      </c>
      <c r="J367" s="126">
        <f>SUM(G367:I367)</f>
        <v>0</v>
      </c>
      <c r="K367" s="111">
        <f>K368+K370</f>
        <v>0</v>
      </c>
      <c r="L367" s="111">
        <f>L368+L370</f>
        <v>0</v>
      </c>
      <c r="M367" s="111">
        <f>M368+M370</f>
        <v>0</v>
      </c>
      <c r="N367" s="126">
        <f>SUM(K367:M367)</f>
        <v>0</v>
      </c>
      <c r="O367" s="126">
        <f>O368+O370</f>
        <v>0</v>
      </c>
      <c r="P367" s="111">
        <f>P368+P370</f>
        <v>0</v>
      </c>
      <c r="Q367" s="111">
        <f>Q368+Q370</f>
        <v>0</v>
      </c>
      <c r="R367" s="111">
        <f>SUM(O367:Q367)</f>
        <v>0</v>
      </c>
      <c r="S367" s="113">
        <f>S368+S370</f>
        <v>0</v>
      </c>
      <c r="T367" s="113">
        <f>T368+T370</f>
        <v>0</v>
      </c>
      <c r="U367" s="113">
        <f>U368+U370</f>
        <v>0</v>
      </c>
      <c r="V367" s="112">
        <f>SUM(S367:U367)</f>
        <v>0</v>
      </c>
    </row>
    <row r="368" spans="1:22" s="36" customFormat="1" ht="54.75" customHeight="1" hidden="1">
      <c r="A368" s="98"/>
      <c r="B368" s="76" t="s">
        <v>270</v>
      </c>
      <c r="C368" s="107">
        <v>800</v>
      </c>
      <c r="D368" s="156"/>
      <c r="E368" s="157"/>
      <c r="F368" s="59">
        <f>J368+N368+R368+V368</f>
        <v>0</v>
      </c>
      <c r="G368" s="59">
        <f>G369</f>
        <v>0</v>
      </c>
      <c r="H368" s="59">
        <f>H369</f>
        <v>0</v>
      </c>
      <c r="I368" s="59">
        <f>I369</f>
        <v>0</v>
      </c>
      <c r="J368" s="125">
        <f>SUM(G368:I368)</f>
        <v>0</v>
      </c>
      <c r="K368" s="59">
        <f>K369</f>
        <v>0</v>
      </c>
      <c r="L368" s="59">
        <f>L369</f>
        <v>0</v>
      </c>
      <c r="M368" s="59">
        <f>M369</f>
        <v>0</v>
      </c>
      <c r="N368" s="125">
        <f>SUM(K368:M368)</f>
        <v>0</v>
      </c>
      <c r="O368" s="59">
        <f>O369</f>
        <v>0</v>
      </c>
      <c r="P368" s="59">
        <f>P369</f>
        <v>0</v>
      </c>
      <c r="Q368" s="59">
        <f>Q369</f>
        <v>0</v>
      </c>
      <c r="R368" s="125">
        <f>SUM(O368:Q368)</f>
        <v>0</v>
      </c>
      <c r="S368" s="71">
        <f>S369</f>
        <v>0</v>
      </c>
      <c r="T368" s="71">
        <f>T369</f>
        <v>0</v>
      </c>
      <c r="U368" s="71">
        <f>U369</f>
        <v>0</v>
      </c>
      <c r="V368" s="72">
        <f>SUM(S368:U368)</f>
        <v>0</v>
      </c>
    </row>
    <row r="369" spans="1:22" s="36" customFormat="1" ht="23.25" customHeight="1" hidden="1">
      <c r="A369" s="98"/>
      <c r="B369" s="76" t="s">
        <v>287</v>
      </c>
      <c r="C369" s="107">
        <v>853</v>
      </c>
      <c r="D369" s="156" t="s">
        <v>107</v>
      </c>
      <c r="E369" s="157"/>
      <c r="F369" s="59">
        <f>J369+N369+R369+V369</f>
        <v>0</v>
      </c>
      <c r="G369" s="59"/>
      <c r="H369" s="59"/>
      <c r="I369" s="59"/>
      <c r="J369" s="125">
        <f>G369+H369+I369</f>
        <v>0</v>
      </c>
      <c r="K369" s="59"/>
      <c r="L369" s="59"/>
      <c r="M369" s="59">
        <f>5031.18244-5031.18244</f>
        <v>0</v>
      </c>
      <c r="N369" s="125">
        <f>K369+L369+M369</f>
        <v>0</v>
      </c>
      <c r="O369" s="59"/>
      <c r="P369" s="59"/>
      <c r="Q369" s="59"/>
      <c r="R369" s="125">
        <f>O369+P369+Q369</f>
        <v>0</v>
      </c>
      <c r="S369" s="71"/>
      <c r="T369" s="71"/>
      <c r="U369" s="71"/>
      <c r="V369" s="72">
        <f>S369+T369+U369</f>
        <v>0</v>
      </c>
    </row>
    <row r="370" spans="1:22" s="36" customFormat="1" ht="90.75" customHeight="1" hidden="1">
      <c r="A370" s="98"/>
      <c r="B370" s="44" t="s">
        <v>275</v>
      </c>
      <c r="C370" s="107">
        <v>800</v>
      </c>
      <c r="D370" s="156"/>
      <c r="E370" s="157"/>
      <c r="F370" s="59">
        <f>J370+N370+R370+V370</f>
        <v>0</v>
      </c>
      <c r="G370" s="59">
        <f>G371</f>
        <v>0</v>
      </c>
      <c r="H370" s="59">
        <f>H371</f>
        <v>0</v>
      </c>
      <c r="I370" s="59">
        <f>I371</f>
        <v>0</v>
      </c>
      <c r="J370" s="125">
        <f>SUM(G370:I370)</f>
        <v>0</v>
      </c>
      <c r="K370" s="59">
        <f>K371</f>
        <v>0</v>
      </c>
      <c r="L370" s="59">
        <f>L371</f>
        <v>0</v>
      </c>
      <c r="M370" s="59">
        <f>M371</f>
        <v>0</v>
      </c>
      <c r="N370" s="125">
        <f>SUM(K370:M370)</f>
        <v>0</v>
      </c>
      <c r="O370" s="59">
        <f>O371</f>
        <v>0</v>
      </c>
      <c r="P370" s="59">
        <f>P371</f>
        <v>0</v>
      </c>
      <c r="Q370" s="59">
        <f>Q371</f>
        <v>0</v>
      </c>
      <c r="R370" s="125">
        <f>SUM(O370:Q370)</f>
        <v>0</v>
      </c>
      <c r="S370" s="71">
        <f>S371</f>
        <v>0</v>
      </c>
      <c r="T370" s="71">
        <f>T371</f>
        <v>0</v>
      </c>
      <c r="U370" s="71">
        <f>U371</f>
        <v>0</v>
      </c>
      <c r="V370" s="72">
        <f>SUM(S370:U370)</f>
        <v>0</v>
      </c>
    </row>
    <row r="371" spans="1:22" s="36" customFormat="1" ht="16.5" customHeight="1" hidden="1">
      <c r="A371" s="98"/>
      <c r="B371" s="110" t="s">
        <v>261</v>
      </c>
      <c r="C371" s="107">
        <v>853</v>
      </c>
      <c r="D371" s="156" t="s">
        <v>107</v>
      </c>
      <c r="E371" s="157"/>
      <c r="F371" s="59">
        <f>J371+N371+R371+V371</f>
        <v>0</v>
      </c>
      <c r="G371" s="59"/>
      <c r="H371" s="59"/>
      <c r="I371" s="59"/>
      <c r="J371" s="125">
        <f>SUM(G371:I371)</f>
        <v>0</v>
      </c>
      <c r="K371" s="59"/>
      <c r="L371" s="59"/>
      <c r="M371" s="59">
        <f>559.02027-559.02027</f>
        <v>0</v>
      </c>
      <c r="N371" s="125">
        <f>SUM(K371:M371)</f>
        <v>0</v>
      </c>
      <c r="O371" s="59"/>
      <c r="P371" s="59"/>
      <c r="Q371" s="59"/>
      <c r="R371" s="125">
        <f>SUM(O371:Q371)</f>
        <v>0</v>
      </c>
      <c r="S371" s="71"/>
      <c r="T371" s="71"/>
      <c r="U371" s="71"/>
      <c r="V371" s="72">
        <f>SUM(S371:U371)</f>
        <v>0</v>
      </c>
    </row>
    <row r="372" spans="1:22" s="36" customFormat="1" ht="114" customHeight="1">
      <c r="A372" s="98"/>
      <c r="B372" s="117" t="s">
        <v>305</v>
      </c>
      <c r="C372" s="40">
        <v>500</v>
      </c>
      <c r="D372" s="141"/>
      <c r="E372" s="142"/>
      <c r="F372" s="50">
        <f t="shared" si="166"/>
        <v>791.1</v>
      </c>
      <c r="G372" s="64">
        <f>G373</f>
        <v>0</v>
      </c>
      <c r="H372" s="64">
        <f>H373</f>
        <v>0</v>
      </c>
      <c r="I372" s="64">
        <f>I373</f>
        <v>0</v>
      </c>
      <c r="J372" s="64">
        <f t="shared" si="171"/>
        <v>0</v>
      </c>
      <c r="K372" s="64">
        <f>K373</f>
        <v>0</v>
      </c>
      <c r="L372" s="64">
        <f>L373</f>
        <v>0</v>
      </c>
      <c r="M372" s="64">
        <f>M373</f>
        <v>0</v>
      </c>
      <c r="N372" s="64">
        <f t="shared" si="172"/>
        <v>0</v>
      </c>
      <c r="O372" s="64">
        <f>O373</f>
        <v>0</v>
      </c>
      <c r="P372" s="64">
        <f>P373</f>
        <v>0</v>
      </c>
      <c r="Q372" s="50">
        <f>Q373</f>
        <v>791.1</v>
      </c>
      <c r="R372" s="50">
        <f>SUM(O372:Q372)</f>
        <v>791.1</v>
      </c>
      <c r="S372" s="64">
        <f>S373</f>
        <v>0</v>
      </c>
      <c r="T372" s="64">
        <f>T373</f>
        <v>0</v>
      </c>
      <c r="U372" s="64">
        <f>U373</f>
        <v>0</v>
      </c>
      <c r="V372" s="64">
        <f t="shared" si="173"/>
        <v>0</v>
      </c>
    </row>
    <row r="373" spans="1:22" s="36" customFormat="1" ht="12.75">
      <c r="A373" s="98"/>
      <c r="B373" s="39" t="s">
        <v>129</v>
      </c>
      <c r="C373" s="39">
        <v>540</v>
      </c>
      <c r="D373" s="131" t="s">
        <v>130</v>
      </c>
      <c r="E373" s="132"/>
      <c r="F373" s="52">
        <f t="shared" si="166"/>
        <v>791.1</v>
      </c>
      <c r="G373" s="61">
        <v>0</v>
      </c>
      <c r="H373" s="61">
        <v>0</v>
      </c>
      <c r="I373" s="61">
        <v>0</v>
      </c>
      <c r="J373" s="60">
        <f t="shared" si="171"/>
        <v>0</v>
      </c>
      <c r="K373" s="61">
        <v>0</v>
      </c>
      <c r="L373" s="61">
        <v>0</v>
      </c>
      <c r="M373" s="61">
        <v>0</v>
      </c>
      <c r="N373" s="60">
        <f t="shared" si="172"/>
        <v>0</v>
      </c>
      <c r="O373" s="61">
        <f>791.1-791.1</f>
        <v>0</v>
      </c>
      <c r="P373" s="61">
        <v>0</v>
      </c>
      <c r="Q373" s="52">
        <v>791.1</v>
      </c>
      <c r="R373" s="51">
        <f>SUM(O373:Q373)</f>
        <v>791.1</v>
      </c>
      <c r="S373" s="61">
        <v>0</v>
      </c>
      <c r="T373" s="61">
        <v>0</v>
      </c>
      <c r="U373" s="61">
        <v>0</v>
      </c>
      <c r="V373" s="60">
        <f t="shared" si="173"/>
        <v>0</v>
      </c>
    </row>
    <row r="374" spans="1:22" s="36" customFormat="1" ht="112.5" customHeight="1">
      <c r="A374" s="98"/>
      <c r="B374" s="117" t="s">
        <v>306</v>
      </c>
      <c r="C374" s="40">
        <v>500</v>
      </c>
      <c r="D374" s="143"/>
      <c r="E374" s="144"/>
      <c r="F374" s="50">
        <f t="shared" si="166"/>
        <v>294.84</v>
      </c>
      <c r="G374" s="64">
        <f>G375</f>
        <v>0</v>
      </c>
      <c r="H374" s="64">
        <f>H375</f>
        <v>0</v>
      </c>
      <c r="I374" s="64">
        <f>I375</f>
        <v>0</v>
      </c>
      <c r="J374" s="64">
        <f t="shared" si="171"/>
        <v>0</v>
      </c>
      <c r="K374" s="64">
        <f>K375</f>
        <v>0</v>
      </c>
      <c r="L374" s="64">
        <f>L375</f>
        <v>0</v>
      </c>
      <c r="M374" s="64">
        <f>M375</f>
        <v>0</v>
      </c>
      <c r="N374" s="64">
        <f t="shared" si="172"/>
        <v>0</v>
      </c>
      <c r="O374" s="50">
        <f>O375</f>
        <v>294.84</v>
      </c>
      <c r="P374" s="64">
        <f>P375</f>
        <v>0</v>
      </c>
      <c r="Q374" s="64">
        <f>Q375</f>
        <v>0</v>
      </c>
      <c r="R374" s="50">
        <f aca="true" t="shared" si="174" ref="R374:R379">SUM(O374:Q374)</f>
        <v>294.84</v>
      </c>
      <c r="S374" s="64">
        <f>S375</f>
        <v>0</v>
      </c>
      <c r="T374" s="64">
        <f>T375</f>
        <v>0</v>
      </c>
      <c r="U374" s="64">
        <f>U375</f>
        <v>0</v>
      </c>
      <c r="V374" s="64">
        <f t="shared" si="173"/>
        <v>0</v>
      </c>
    </row>
    <row r="375" spans="1:22" s="36" customFormat="1" ht="12.75">
      <c r="A375" s="98"/>
      <c r="B375" s="39" t="s">
        <v>129</v>
      </c>
      <c r="C375" s="39">
        <v>540</v>
      </c>
      <c r="D375" s="131" t="s">
        <v>130</v>
      </c>
      <c r="E375" s="132"/>
      <c r="F375" s="52">
        <f t="shared" si="166"/>
        <v>294.84</v>
      </c>
      <c r="G375" s="61">
        <v>0</v>
      </c>
      <c r="H375" s="61">
        <v>0</v>
      </c>
      <c r="I375" s="61">
        <v>0</v>
      </c>
      <c r="J375" s="60">
        <f t="shared" si="171"/>
        <v>0</v>
      </c>
      <c r="K375" s="61">
        <v>0</v>
      </c>
      <c r="L375" s="61">
        <v>0</v>
      </c>
      <c r="M375" s="61">
        <v>0</v>
      </c>
      <c r="N375" s="60">
        <f t="shared" si="172"/>
        <v>0</v>
      </c>
      <c r="O375" s="52">
        <v>294.84</v>
      </c>
      <c r="P375" s="61">
        <v>0</v>
      </c>
      <c r="Q375" s="61">
        <v>0</v>
      </c>
      <c r="R375" s="51">
        <f t="shared" si="174"/>
        <v>294.84</v>
      </c>
      <c r="S375" s="61">
        <v>0</v>
      </c>
      <c r="T375" s="61">
        <v>0</v>
      </c>
      <c r="U375" s="61">
        <v>0</v>
      </c>
      <c r="V375" s="60">
        <f t="shared" si="173"/>
        <v>0</v>
      </c>
    </row>
    <row r="376" spans="1:22" s="36" customFormat="1" ht="24.75" customHeight="1" hidden="1">
      <c r="A376" s="98"/>
      <c r="B376" s="40" t="s">
        <v>205</v>
      </c>
      <c r="C376" s="40">
        <v>200</v>
      </c>
      <c r="D376" s="131"/>
      <c r="E376" s="132"/>
      <c r="F376" s="50">
        <f t="shared" si="166"/>
        <v>0</v>
      </c>
      <c r="G376" s="54">
        <f>G377</f>
        <v>0</v>
      </c>
      <c r="H376" s="54">
        <f>H377</f>
        <v>0</v>
      </c>
      <c r="I376" s="54">
        <f>I377</f>
        <v>0</v>
      </c>
      <c r="J376" s="50">
        <f t="shared" si="171"/>
        <v>0</v>
      </c>
      <c r="K376" s="54">
        <f>K377</f>
        <v>0</v>
      </c>
      <c r="L376" s="54">
        <f>L377</f>
        <v>0</v>
      </c>
      <c r="M376" s="54">
        <f>M377</f>
        <v>0</v>
      </c>
      <c r="N376" s="50">
        <f t="shared" si="172"/>
        <v>0</v>
      </c>
      <c r="O376" s="54">
        <f>O377</f>
        <v>0</v>
      </c>
      <c r="P376" s="54">
        <f>P377</f>
        <v>0</v>
      </c>
      <c r="Q376" s="54">
        <f>Q377</f>
        <v>0</v>
      </c>
      <c r="R376" s="50">
        <f t="shared" si="174"/>
        <v>0</v>
      </c>
      <c r="S376" s="54">
        <f>S377</f>
        <v>0</v>
      </c>
      <c r="T376" s="54">
        <f>T377</f>
        <v>0</v>
      </c>
      <c r="U376" s="54">
        <f>U377</f>
        <v>0</v>
      </c>
      <c r="V376" s="50">
        <f t="shared" si="173"/>
        <v>0</v>
      </c>
    </row>
    <row r="377" spans="1:22" s="36" customFormat="1" ht="45" customHeight="1" hidden="1">
      <c r="A377" s="98"/>
      <c r="B377" s="41" t="s">
        <v>206</v>
      </c>
      <c r="C377" s="41">
        <v>240</v>
      </c>
      <c r="D377" s="137"/>
      <c r="E377" s="138"/>
      <c r="F377" s="57">
        <f t="shared" si="166"/>
        <v>0</v>
      </c>
      <c r="G377" s="53">
        <f>G378+G379</f>
        <v>0</v>
      </c>
      <c r="H377" s="53">
        <f>H378+H379</f>
        <v>0</v>
      </c>
      <c r="I377" s="53">
        <f>I378+I379</f>
        <v>0</v>
      </c>
      <c r="J377" s="57">
        <f t="shared" si="171"/>
        <v>0</v>
      </c>
      <c r="K377" s="53">
        <f>K378+K379</f>
        <v>0</v>
      </c>
      <c r="L377" s="53">
        <f>L378+L379</f>
        <v>0</v>
      </c>
      <c r="M377" s="53">
        <f>M378+M379</f>
        <v>0</v>
      </c>
      <c r="N377" s="57">
        <f t="shared" si="172"/>
        <v>0</v>
      </c>
      <c r="O377" s="53">
        <f>O378+O379</f>
        <v>0</v>
      </c>
      <c r="P377" s="53">
        <f>P378+P379</f>
        <v>0</v>
      </c>
      <c r="Q377" s="53">
        <f>Q378+Q379</f>
        <v>0</v>
      </c>
      <c r="R377" s="57">
        <f t="shared" si="174"/>
        <v>0</v>
      </c>
      <c r="S377" s="53">
        <f>S378+S379</f>
        <v>0</v>
      </c>
      <c r="T377" s="53">
        <f>T378+T379</f>
        <v>0</v>
      </c>
      <c r="U377" s="53">
        <f>U378+U379</f>
        <v>0</v>
      </c>
      <c r="V377" s="57">
        <f>S377+T377+U377</f>
        <v>0</v>
      </c>
    </row>
    <row r="378" spans="1:22" s="36" customFormat="1" ht="12.75" hidden="1">
      <c r="A378" s="98"/>
      <c r="B378" s="39" t="s">
        <v>133</v>
      </c>
      <c r="C378" s="39">
        <v>244</v>
      </c>
      <c r="D378" s="131" t="s">
        <v>107</v>
      </c>
      <c r="E378" s="132"/>
      <c r="F378" s="52">
        <f t="shared" si="166"/>
        <v>0</v>
      </c>
      <c r="G378" s="52"/>
      <c r="H378" s="52"/>
      <c r="I378" s="52"/>
      <c r="J378" s="51">
        <f t="shared" si="171"/>
        <v>0</v>
      </c>
      <c r="K378" s="52"/>
      <c r="L378" s="52"/>
      <c r="M378" s="52"/>
      <c r="N378" s="51">
        <f t="shared" si="172"/>
        <v>0</v>
      </c>
      <c r="O378" s="52"/>
      <c r="P378" s="52"/>
      <c r="Q378" s="52"/>
      <c r="R378" s="51">
        <f t="shared" si="174"/>
        <v>0</v>
      </c>
      <c r="S378" s="52"/>
      <c r="T378" s="52"/>
      <c r="U378" s="52"/>
      <c r="V378" s="51">
        <f>S378+T378+U378</f>
        <v>0</v>
      </c>
    </row>
    <row r="379" spans="1:22" s="36" customFormat="1" ht="12.75" hidden="1">
      <c r="A379" s="98"/>
      <c r="B379" s="39" t="s">
        <v>108</v>
      </c>
      <c r="C379" s="39">
        <v>244</v>
      </c>
      <c r="D379" s="131" t="s">
        <v>109</v>
      </c>
      <c r="E379" s="132"/>
      <c r="F379" s="52">
        <f t="shared" si="166"/>
        <v>0</v>
      </c>
      <c r="G379" s="52"/>
      <c r="H379" s="52"/>
      <c r="I379" s="52"/>
      <c r="J379" s="51">
        <f t="shared" si="171"/>
        <v>0</v>
      </c>
      <c r="K379" s="52"/>
      <c r="L379" s="52"/>
      <c r="M379" s="52"/>
      <c r="N379" s="51">
        <f t="shared" si="172"/>
        <v>0</v>
      </c>
      <c r="O379" s="52"/>
      <c r="P379" s="52"/>
      <c r="Q379" s="52"/>
      <c r="R379" s="51">
        <f t="shared" si="174"/>
        <v>0</v>
      </c>
      <c r="S379" s="52"/>
      <c r="T379" s="52"/>
      <c r="U379" s="52"/>
      <c r="V379" s="51">
        <f>S379+T379+U379</f>
        <v>0</v>
      </c>
    </row>
    <row r="380" spans="1:22" s="36" customFormat="1" ht="42" customHeight="1" hidden="1">
      <c r="A380" s="98"/>
      <c r="B380" s="40" t="s">
        <v>204</v>
      </c>
      <c r="C380" s="40">
        <v>200</v>
      </c>
      <c r="D380" s="143"/>
      <c r="E380" s="144"/>
      <c r="F380" s="50">
        <f>R380+V380+N380+J380</f>
        <v>0</v>
      </c>
      <c r="G380" s="50">
        <f>G381+G383</f>
        <v>0</v>
      </c>
      <c r="H380" s="50">
        <f>H381+H383</f>
        <v>0</v>
      </c>
      <c r="I380" s="50">
        <f>I381+I383</f>
        <v>0</v>
      </c>
      <c r="J380" s="50">
        <f>G380+H380+I380</f>
        <v>0</v>
      </c>
      <c r="K380" s="50">
        <f>K381+K383</f>
        <v>0</v>
      </c>
      <c r="L380" s="50">
        <f>L381+L383</f>
        <v>0</v>
      </c>
      <c r="M380" s="50">
        <f>M381+M383</f>
        <v>0</v>
      </c>
      <c r="N380" s="50">
        <f t="shared" si="172"/>
        <v>0</v>
      </c>
      <c r="O380" s="50">
        <f>O381+O383</f>
        <v>0</v>
      </c>
      <c r="P380" s="50">
        <f>P381+P383</f>
        <v>0</v>
      </c>
      <c r="Q380" s="50">
        <f>Q381+Q383</f>
        <v>0</v>
      </c>
      <c r="R380" s="50">
        <f>SUM(O380:Q380)</f>
        <v>0</v>
      </c>
      <c r="S380" s="50">
        <f>S381+S383</f>
        <v>0</v>
      </c>
      <c r="T380" s="50">
        <f>T381+T383</f>
        <v>0</v>
      </c>
      <c r="U380" s="50">
        <f>U381+U383</f>
        <v>0</v>
      </c>
      <c r="V380" s="50">
        <f>SUM(S380:U380)</f>
        <v>0</v>
      </c>
    </row>
    <row r="381" spans="1:22" s="36" customFormat="1" ht="30.75" customHeight="1" hidden="1">
      <c r="A381" s="98"/>
      <c r="B381" s="41" t="s">
        <v>217</v>
      </c>
      <c r="C381" s="39">
        <v>240</v>
      </c>
      <c r="D381" s="143"/>
      <c r="E381" s="144"/>
      <c r="F381" s="57">
        <f aca="true" t="shared" si="175" ref="F381:F387">J381+N381+R381+V381</f>
        <v>0</v>
      </c>
      <c r="G381" s="53">
        <f>G382</f>
        <v>0</v>
      </c>
      <c r="H381" s="53">
        <f>H382</f>
        <v>0</v>
      </c>
      <c r="I381" s="53">
        <f>I382</f>
        <v>0</v>
      </c>
      <c r="J381" s="57">
        <f>SUM(G381:I381)</f>
        <v>0</v>
      </c>
      <c r="K381" s="53">
        <f>K382</f>
        <v>0</v>
      </c>
      <c r="L381" s="53">
        <f>L382</f>
        <v>0</v>
      </c>
      <c r="M381" s="53">
        <f>M382</f>
        <v>0</v>
      </c>
      <c r="N381" s="57">
        <f t="shared" si="172"/>
        <v>0</v>
      </c>
      <c r="O381" s="53">
        <f>O382</f>
        <v>0</v>
      </c>
      <c r="P381" s="53">
        <f>P382</f>
        <v>0</v>
      </c>
      <c r="Q381" s="53">
        <f>Q382</f>
        <v>0</v>
      </c>
      <c r="R381" s="57">
        <f>SUM(O381:Q381)</f>
        <v>0</v>
      </c>
      <c r="S381" s="53">
        <f>S382</f>
        <v>0</v>
      </c>
      <c r="T381" s="53">
        <f>T382</f>
        <v>0</v>
      </c>
      <c r="U381" s="53">
        <f>U382</f>
        <v>0</v>
      </c>
      <c r="V381" s="57">
        <f aca="true" t="shared" si="176" ref="V381:V387">S381+T381+U381</f>
        <v>0</v>
      </c>
    </row>
    <row r="382" spans="1:22" s="36" customFormat="1" ht="14.25" customHeight="1" hidden="1">
      <c r="A382" s="98"/>
      <c r="B382" s="39" t="s">
        <v>147</v>
      </c>
      <c r="C382" s="39">
        <v>244</v>
      </c>
      <c r="D382" s="131" t="s">
        <v>105</v>
      </c>
      <c r="E382" s="132"/>
      <c r="F382" s="52">
        <f t="shared" si="175"/>
        <v>0</v>
      </c>
      <c r="G382" s="52"/>
      <c r="H382" s="52"/>
      <c r="I382" s="52"/>
      <c r="J382" s="51">
        <f>SUM(G382:I382)</f>
        <v>0</v>
      </c>
      <c r="K382" s="52"/>
      <c r="L382" s="52"/>
      <c r="M382" s="52"/>
      <c r="N382" s="51">
        <f t="shared" si="172"/>
        <v>0</v>
      </c>
      <c r="O382" s="52"/>
      <c r="P382" s="52"/>
      <c r="Q382" s="52"/>
      <c r="R382" s="51">
        <f>SUM(O382:Q382)</f>
        <v>0</v>
      </c>
      <c r="S382" s="52"/>
      <c r="T382" s="52"/>
      <c r="U382" s="52"/>
      <c r="V382" s="51">
        <f t="shared" si="176"/>
        <v>0</v>
      </c>
    </row>
    <row r="383" spans="1:22" s="36" customFormat="1" ht="64.5" customHeight="1" hidden="1">
      <c r="A383" s="98"/>
      <c r="B383" s="41" t="s">
        <v>218</v>
      </c>
      <c r="C383" s="39">
        <v>240</v>
      </c>
      <c r="D383" s="141"/>
      <c r="E383" s="142"/>
      <c r="F383" s="57">
        <f t="shared" si="175"/>
        <v>0</v>
      </c>
      <c r="G383" s="53">
        <f>G384</f>
        <v>0</v>
      </c>
      <c r="H383" s="53">
        <f>H384</f>
        <v>0</v>
      </c>
      <c r="I383" s="53">
        <f>I384</f>
        <v>0</v>
      </c>
      <c r="J383" s="57">
        <f>SUM(G383:I383)</f>
        <v>0</v>
      </c>
      <c r="K383" s="53">
        <f>K384</f>
        <v>0</v>
      </c>
      <c r="L383" s="53">
        <f>L384</f>
        <v>0</v>
      </c>
      <c r="M383" s="53">
        <f>M384</f>
        <v>0</v>
      </c>
      <c r="N383" s="57">
        <f t="shared" si="172"/>
        <v>0</v>
      </c>
      <c r="O383" s="53">
        <f>O384</f>
        <v>0</v>
      </c>
      <c r="P383" s="53">
        <f>P384</f>
        <v>0</v>
      </c>
      <c r="Q383" s="53">
        <f>Q384</f>
        <v>0</v>
      </c>
      <c r="R383" s="57">
        <f>SUM(O383:Q383)</f>
        <v>0</v>
      </c>
      <c r="S383" s="53">
        <f>S384</f>
        <v>0</v>
      </c>
      <c r="T383" s="53">
        <f>T384</f>
        <v>0</v>
      </c>
      <c r="U383" s="53">
        <f>U384</f>
        <v>0</v>
      </c>
      <c r="V383" s="57">
        <f t="shared" si="176"/>
        <v>0</v>
      </c>
    </row>
    <row r="384" spans="1:22" s="36" customFormat="1" ht="12.75" hidden="1">
      <c r="A384" s="98"/>
      <c r="B384" s="39" t="s">
        <v>106</v>
      </c>
      <c r="C384" s="39">
        <v>244</v>
      </c>
      <c r="D384" s="131" t="s">
        <v>107</v>
      </c>
      <c r="E384" s="132"/>
      <c r="F384" s="52">
        <f t="shared" si="175"/>
        <v>0</v>
      </c>
      <c r="G384" s="52"/>
      <c r="H384" s="52"/>
      <c r="I384" s="52"/>
      <c r="J384" s="51">
        <f>SUM(G384:I384)</f>
        <v>0</v>
      </c>
      <c r="K384" s="52"/>
      <c r="L384" s="52"/>
      <c r="M384" s="52"/>
      <c r="N384" s="51">
        <f t="shared" si="172"/>
        <v>0</v>
      </c>
      <c r="O384" s="52"/>
      <c r="P384" s="52"/>
      <c r="Q384" s="52"/>
      <c r="R384" s="51">
        <f>SUM(O384:Q384)</f>
        <v>0</v>
      </c>
      <c r="S384" s="52"/>
      <c r="T384" s="52"/>
      <c r="U384" s="52"/>
      <c r="V384" s="51">
        <f t="shared" si="176"/>
        <v>0</v>
      </c>
    </row>
    <row r="385" spans="1:22" s="36" customFormat="1" ht="34.5" customHeight="1">
      <c r="A385" s="98"/>
      <c r="B385" s="40" t="s">
        <v>319</v>
      </c>
      <c r="C385" s="40"/>
      <c r="D385" s="141"/>
      <c r="E385" s="142"/>
      <c r="F385" s="50">
        <f>J385+N385+R385+V385</f>
        <v>12865.68</v>
      </c>
      <c r="G385" s="54">
        <f>G386+G408+G413+G416+G418+G420+G411+G422+G424</f>
        <v>227.20000000000002</v>
      </c>
      <c r="H385" s="54">
        <f>H386+H408+H413+H416+H418+H420+H411+H422+H424</f>
        <v>406.8</v>
      </c>
      <c r="I385" s="54">
        <f>I386+I408+I413+I416+I418+I420+I411+I422+I424</f>
        <v>517.3</v>
      </c>
      <c r="J385" s="50">
        <f>G385+H385+I385</f>
        <v>1151.3</v>
      </c>
      <c r="K385" s="54">
        <f>K386+K408+K413+K416+K418+K420+K411+K422+K424</f>
        <v>3688.6</v>
      </c>
      <c r="L385" s="54">
        <f>L386+L408+L413+L416+L418+L420+L411+L422+L424</f>
        <v>400.9</v>
      </c>
      <c r="M385" s="54">
        <f>M386+M408+M413+M416+M418+M420+M411+M422+M424</f>
        <v>528.9000000000001</v>
      </c>
      <c r="N385" s="50">
        <f>K385+L385+M385</f>
        <v>4618.4</v>
      </c>
      <c r="O385" s="54">
        <f>O386+O408+O413+O416+O418+O420+O411+O422+O424</f>
        <v>537.5</v>
      </c>
      <c r="P385" s="54">
        <f>P386+P408+P413+P416+P418+P420+P411+P422+P424</f>
        <v>537.9000000000001</v>
      </c>
      <c r="Q385" s="54">
        <f>Q386+Q408+Q413+Q416+Q418+Q420+Q411+Q422+Q424</f>
        <v>538.3000000000001</v>
      </c>
      <c r="R385" s="50">
        <f>O385+P385+Q385</f>
        <v>1613.7000000000003</v>
      </c>
      <c r="S385" s="54">
        <f>S386+S408+S413+S416+S418+S420+S411+S422+S424</f>
        <v>4178.6</v>
      </c>
      <c r="T385" s="54">
        <f>T386+T408+T413+T416+T418+T420+T411+T422+T424</f>
        <v>656.0300000000001</v>
      </c>
      <c r="U385" s="54">
        <f>U386+U408+U413+U416+U418+U420+U411+U422+U424</f>
        <v>647.65</v>
      </c>
      <c r="V385" s="50">
        <f t="shared" si="176"/>
        <v>5482.28</v>
      </c>
    </row>
    <row r="386" spans="1:22" s="36" customFormat="1" ht="66" customHeight="1">
      <c r="A386" s="98"/>
      <c r="B386" s="41" t="s">
        <v>329</v>
      </c>
      <c r="C386" s="41">
        <v>611</v>
      </c>
      <c r="D386" s="137" t="s">
        <v>202</v>
      </c>
      <c r="E386" s="138"/>
      <c r="F386" s="57">
        <f t="shared" si="175"/>
        <v>5655.98</v>
      </c>
      <c r="G386" s="53">
        <f>G387+G389+G390+G391+G395+G396+G397+G398</f>
        <v>227.20000000000002</v>
      </c>
      <c r="H386" s="53">
        <f>H387+H389+H390+H391+H395+H396+H397+H398</f>
        <v>391.90000000000003</v>
      </c>
      <c r="I386" s="53">
        <f>I387+I389+I390+I391+I395+I396+I397+I398</f>
        <v>487.5</v>
      </c>
      <c r="J386" s="51">
        <f>G386+H386+I386</f>
        <v>1106.6</v>
      </c>
      <c r="K386" s="53">
        <f>K387+K389+K390+K391+K395+K396+K397+K398</f>
        <v>197.70000000000002</v>
      </c>
      <c r="L386" s="53">
        <f>L387+L389+L390+L391+L395+L396+L397+L398</f>
        <v>382.4</v>
      </c>
      <c r="M386" s="53">
        <f>M387+M389+M390+M391+M395+M396+M397+M398</f>
        <v>510.6</v>
      </c>
      <c r="N386" s="57">
        <f>K386+L386+M386</f>
        <v>1090.7</v>
      </c>
      <c r="O386" s="53">
        <f>O387+O389+O390+O391+O395+O396+O397+O398</f>
        <v>519.3</v>
      </c>
      <c r="P386" s="53">
        <f>P387+P389+P390+P391+P395+P396+P397+P398</f>
        <v>519.5</v>
      </c>
      <c r="Q386" s="53">
        <f>Q387+Q389+Q390+Q391+Q395+Q396+Q397+Q398</f>
        <v>519.9</v>
      </c>
      <c r="R386" s="57">
        <f>O386+P386+Q386</f>
        <v>1558.6999999999998</v>
      </c>
      <c r="S386" s="53">
        <f>S387+S389+S390+S391+S395+S396+S397+S398</f>
        <v>633.1</v>
      </c>
      <c r="T386" s="53">
        <f>T387+T389+T390+T391+T395+T396+T397+T398</f>
        <v>633.2</v>
      </c>
      <c r="U386" s="53">
        <f>U387+U389+U390+U391+U395+U396+U397+U398</f>
        <v>633.68</v>
      </c>
      <c r="V386" s="57">
        <f>S386+T386+U386</f>
        <v>1899.98</v>
      </c>
    </row>
    <row r="387" spans="1:22" s="36" customFormat="1" ht="12.75">
      <c r="A387" s="98"/>
      <c r="B387" s="39" t="s">
        <v>90</v>
      </c>
      <c r="C387" s="39">
        <v>611</v>
      </c>
      <c r="D387" s="49" t="s">
        <v>150</v>
      </c>
      <c r="E387" s="47"/>
      <c r="F387" s="52">
        <f t="shared" si="175"/>
        <v>2451.2799999999997</v>
      </c>
      <c r="G387" s="52">
        <v>127.5</v>
      </c>
      <c r="H387" s="52">
        <v>181.4</v>
      </c>
      <c r="I387" s="52">
        <v>181.4</v>
      </c>
      <c r="J387" s="51">
        <f>G387+H387+I387</f>
        <v>490.29999999999995</v>
      </c>
      <c r="K387" s="52">
        <f>204.2-100</f>
        <v>104.19999999999999</v>
      </c>
      <c r="L387" s="52">
        <v>204.3</v>
      </c>
      <c r="M387" s="52">
        <f>204.3+100</f>
        <v>304.3</v>
      </c>
      <c r="N387" s="51">
        <f>K387+L387+M387</f>
        <v>612.8</v>
      </c>
      <c r="O387" s="52">
        <v>204.2</v>
      </c>
      <c r="P387" s="52">
        <v>204.3</v>
      </c>
      <c r="Q387" s="52">
        <v>204.3</v>
      </c>
      <c r="R387" s="51">
        <f>O387+P387+Q387</f>
        <v>612.8</v>
      </c>
      <c r="S387" s="52">
        <v>245.1</v>
      </c>
      <c r="T387" s="52">
        <v>245.1</v>
      </c>
      <c r="U387" s="52">
        <v>245.18</v>
      </c>
      <c r="V387" s="51">
        <f t="shared" si="176"/>
        <v>735.38</v>
      </c>
    </row>
    <row r="388" spans="1:22" s="36" customFormat="1" ht="12.75" hidden="1">
      <c r="A388" s="98"/>
      <c r="B388" s="39" t="s">
        <v>92</v>
      </c>
      <c r="C388" s="39">
        <v>611</v>
      </c>
      <c r="D388" s="49" t="s">
        <v>151</v>
      </c>
      <c r="E388" s="47"/>
      <c r="F388" s="52"/>
      <c r="G388" s="52"/>
      <c r="H388" s="52"/>
      <c r="I388" s="52"/>
      <c r="J388" s="51"/>
      <c r="K388" s="52"/>
      <c r="L388" s="52"/>
      <c r="M388" s="52"/>
      <c r="N388" s="51"/>
      <c r="O388" s="52"/>
      <c r="P388" s="52"/>
      <c r="Q388" s="52"/>
      <c r="R388" s="51"/>
      <c r="S388" s="52"/>
      <c r="T388" s="52"/>
      <c r="U388" s="52"/>
      <c r="V388" s="51"/>
    </row>
    <row r="389" spans="1:22" s="36" customFormat="1" ht="12.75">
      <c r="A389" s="98"/>
      <c r="B389" s="39" t="s">
        <v>94</v>
      </c>
      <c r="C389" s="39">
        <v>611</v>
      </c>
      <c r="D389" s="49" t="s">
        <v>152</v>
      </c>
      <c r="E389" s="47"/>
      <c r="F389" s="52">
        <f>J389+N389+R389+V389</f>
        <v>740.3000000000001</v>
      </c>
      <c r="G389" s="52">
        <v>38.5</v>
      </c>
      <c r="H389" s="52">
        <v>54.7</v>
      </c>
      <c r="I389" s="52">
        <v>54.8</v>
      </c>
      <c r="J389" s="51">
        <f>G389+H389+I389</f>
        <v>148</v>
      </c>
      <c r="K389" s="52">
        <v>31.5</v>
      </c>
      <c r="L389" s="52">
        <v>61.7</v>
      </c>
      <c r="M389" s="52">
        <v>91.9</v>
      </c>
      <c r="N389" s="51">
        <f>K389+L389+M389</f>
        <v>185.10000000000002</v>
      </c>
      <c r="O389" s="52">
        <v>61.7</v>
      </c>
      <c r="P389" s="52">
        <v>61.7</v>
      </c>
      <c r="Q389" s="52">
        <v>61.7</v>
      </c>
      <c r="R389" s="51">
        <f>O389+P389+Q389</f>
        <v>185.10000000000002</v>
      </c>
      <c r="S389" s="52">
        <v>74</v>
      </c>
      <c r="T389" s="52">
        <v>74</v>
      </c>
      <c r="U389" s="52">
        <v>74.1</v>
      </c>
      <c r="V389" s="51">
        <f>S389+T389+U389</f>
        <v>222.1</v>
      </c>
    </row>
    <row r="390" spans="1:22" s="36" customFormat="1" ht="12.75">
      <c r="A390" s="98"/>
      <c r="B390" s="39" t="s">
        <v>98</v>
      </c>
      <c r="C390" s="39">
        <v>611</v>
      </c>
      <c r="D390" s="49" t="s">
        <v>154</v>
      </c>
      <c r="E390" s="47"/>
      <c r="F390" s="52">
        <f aca="true" t="shared" si="177" ref="F390:F413">J390+N390+R390+V390</f>
        <v>35.800000000000004</v>
      </c>
      <c r="G390" s="52">
        <v>2.9</v>
      </c>
      <c r="H390" s="52">
        <v>3</v>
      </c>
      <c r="I390" s="52">
        <v>3</v>
      </c>
      <c r="J390" s="51">
        <f aca="true" t="shared" si="178" ref="J390:J402">G390+H390+I390</f>
        <v>8.9</v>
      </c>
      <c r="K390" s="52">
        <v>2.9</v>
      </c>
      <c r="L390" s="52">
        <v>3</v>
      </c>
      <c r="M390" s="52">
        <v>3</v>
      </c>
      <c r="N390" s="51">
        <f aca="true" t="shared" si="179" ref="N390:N402">K390+L390+M390</f>
        <v>8.9</v>
      </c>
      <c r="O390" s="52">
        <v>2.9</v>
      </c>
      <c r="P390" s="52">
        <v>3</v>
      </c>
      <c r="Q390" s="52">
        <v>3</v>
      </c>
      <c r="R390" s="51">
        <f aca="true" t="shared" si="180" ref="R390:R402">O390+P390+Q390</f>
        <v>8.9</v>
      </c>
      <c r="S390" s="52">
        <v>3</v>
      </c>
      <c r="T390" s="52">
        <v>3</v>
      </c>
      <c r="U390" s="52">
        <v>3.1</v>
      </c>
      <c r="V390" s="51">
        <f aca="true" t="shared" si="181" ref="V390:V402">S390+T390+U390</f>
        <v>9.1</v>
      </c>
    </row>
    <row r="391" spans="1:22" s="36" customFormat="1" ht="12.75">
      <c r="A391" s="98"/>
      <c r="B391" s="39" t="s">
        <v>100</v>
      </c>
      <c r="C391" s="39">
        <v>611</v>
      </c>
      <c r="D391" s="49" t="s">
        <v>155</v>
      </c>
      <c r="E391" s="47"/>
      <c r="F391" s="52">
        <f t="shared" si="177"/>
        <v>482.3</v>
      </c>
      <c r="G391" s="52">
        <f>G392+G393+G394</f>
        <v>57.5</v>
      </c>
      <c r="H391" s="52">
        <f>H392+H393+H394</f>
        <v>57.6</v>
      </c>
      <c r="I391" s="52">
        <f>I392+I394+I393</f>
        <v>58.6</v>
      </c>
      <c r="J391" s="51">
        <f t="shared" si="178"/>
        <v>173.7</v>
      </c>
      <c r="K391" s="52">
        <f>K392+K393+K394</f>
        <v>32.4</v>
      </c>
      <c r="L391" s="52">
        <f>L392+L393+L394</f>
        <v>32.5</v>
      </c>
      <c r="M391" s="52">
        <f>M392+M393+M394</f>
        <v>32.5</v>
      </c>
      <c r="N391" s="51">
        <f t="shared" si="179"/>
        <v>97.4</v>
      </c>
      <c r="O391" s="52">
        <f>O392+O393+O394</f>
        <v>21.8</v>
      </c>
      <c r="P391" s="52">
        <f>P392+P393+P394</f>
        <v>21.8</v>
      </c>
      <c r="Q391" s="52">
        <f>Q392+Q393+Q394</f>
        <v>21.8</v>
      </c>
      <c r="R391" s="51">
        <f t="shared" si="180"/>
        <v>65.4</v>
      </c>
      <c r="S391" s="52">
        <f>S392+S393+S394</f>
        <v>48.5</v>
      </c>
      <c r="T391" s="52">
        <f>T392+T393+T394</f>
        <v>48.6</v>
      </c>
      <c r="U391" s="52">
        <f>U392+U393+U394</f>
        <v>48.7</v>
      </c>
      <c r="V391" s="51">
        <f t="shared" si="181"/>
        <v>145.8</v>
      </c>
    </row>
    <row r="392" spans="1:22" s="36" customFormat="1" ht="12.75">
      <c r="A392" s="98"/>
      <c r="B392" s="39" t="s">
        <v>117</v>
      </c>
      <c r="C392" s="39">
        <v>611</v>
      </c>
      <c r="D392" s="49" t="s">
        <v>155</v>
      </c>
      <c r="E392" s="47"/>
      <c r="F392" s="52">
        <f t="shared" si="177"/>
        <v>161.9</v>
      </c>
      <c r="G392" s="52">
        <v>20</v>
      </c>
      <c r="H392" s="52">
        <v>20</v>
      </c>
      <c r="I392" s="52">
        <v>20</v>
      </c>
      <c r="J392" s="51">
        <f t="shared" si="178"/>
        <v>60</v>
      </c>
      <c r="K392" s="52">
        <v>10.6</v>
      </c>
      <c r="L392" s="52">
        <v>10.7</v>
      </c>
      <c r="M392" s="52">
        <v>10.7</v>
      </c>
      <c r="N392" s="51">
        <f t="shared" si="179"/>
        <v>31.999999999999996</v>
      </c>
      <c r="O392" s="61">
        <v>0</v>
      </c>
      <c r="P392" s="61">
        <v>0</v>
      </c>
      <c r="Q392" s="61">
        <v>0</v>
      </c>
      <c r="R392" s="60">
        <f t="shared" si="180"/>
        <v>0</v>
      </c>
      <c r="S392" s="52">
        <v>23.3</v>
      </c>
      <c r="T392" s="52">
        <v>23.3</v>
      </c>
      <c r="U392" s="52">
        <v>23.3</v>
      </c>
      <c r="V392" s="51">
        <f t="shared" si="181"/>
        <v>69.9</v>
      </c>
    </row>
    <row r="393" spans="1:22" s="36" customFormat="1" ht="12.75">
      <c r="A393" s="98"/>
      <c r="B393" s="39" t="s">
        <v>118</v>
      </c>
      <c r="C393" s="39">
        <v>611</v>
      </c>
      <c r="D393" s="49" t="s">
        <v>155</v>
      </c>
      <c r="E393" s="47"/>
      <c r="F393" s="52">
        <f t="shared" si="177"/>
        <v>286.8</v>
      </c>
      <c r="G393" s="52">
        <v>35</v>
      </c>
      <c r="H393" s="52">
        <v>35</v>
      </c>
      <c r="I393" s="52">
        <v>36</v>
      </c>
      <c r="J393" s="51">
        <f t="shared" si="178"/>
        <v>106</v>
      </c>
      <c r="K393" s="52">
        <v>19</v>
      </c>
      <c r="L393" s="52">
        <v>19</v>
      </c>
      <c r="M393" s="52">
        <v>19</v>
      </c>
      <c r="N393" s="51">
        <f t="shared" si="179"/>
        <v>57</v>
      </c>
      <c r="O393" s="52">
        <v>19</v>
      </c>
      <c r="P393" s="52">
        <v>19</v>
      </c>
      <c r="Q393" s="52">
        <v>19</v>
      </c>
      <c r="R393" s="51">
        <f t="shared" si="180"/>
        <v>57</v>
      </c>
      <c r="S393" s="52">
        <v>22.2</v>
      </c>
      <c r="T393" s="52">
        <v>22.3</v>
      </c>
      <c r="U393" s="52">
        <v>22.3</v>
      </c>
      <c r="V393" s="51">
        <f t="shared" si="181"/>
        <v>66.8</v>
      </c>
    </row>
    <row r="394" spans="1:22" s="36" customFormat="1" ht="12.75">
      <c r="A394" s="98"/>
      <c r="B394" s="39" t="s">
        <v>119</v>
      </c>
      <c r="C394" s="39">
        <v>611</v>
      </c>
      <c r="D394" s="49" t="s">
        <v>155</v>
      </c>
      <c r="E394" s="47"/>
      <c r="F394" s="52">
        <f>J394+N394+R394+V394</f>
        <v>33.599999999999994</v>
      </c>
      <c r="G394" s="52">
        <v>2.5</v>
      </c>
      <c r="H394" s="52">
        <v>2.6</v>
      </c>
      <c r="I394" s="52">
        <v>2.6</v>
      </c>
      <c r="J394" s="51">
        <f t="shared" si="178"/>
        <v>7.699999999999999</v>
      </c>
      <c r="K394" s="52">
        <v>2.8</v>
      </c>
      <c r="L394" s="52">
        <v>2.8</v>
      </c>
      <c r="M394" s="52">
        <v>2.8</v>
      </c>
      <c r="N394" s="51">
        <f t="shared" si="179"/>
        <v>8.399999999999999</v>
      </c>
      <c r="O394" s="52">
        <v>2.8</v>
      </c>
      <c r="P394" s="52">
        <v>2.8</v>
      </c>
      <c r="Q394" s="52">
        <v>2.8</v>
      </c>
      <c r="R394" s="51">
        <f t="shared" si="180"/>
        <v>8.399999999999999</v>
      </c>
      <c r="S394" s="52">
        <v>3</v>
      </c>
      <c r="T394" s="52">
        <v>3</v>
      </c>
      <c r="U394" s="52">
        <v>3.1</v>
      </c>
      <c r="V394" s="51">
        <f t="shared" si="181"/>
        <v>9.1</v>
      </c>
    </row>
    <row r="395" spans="1:22" s="36" customFormat="1" ht="12.75">
      <c r="A395" s="98"/>
      <c r="B395" s="39" t="s">
        <v>102</v>
      </c>
      <c r="C395" s="39">
        <v>611</v>
      </c>
      <c r="D395" s="49" t="s">
        <v>156</v>
      </c>
      <c r="E395" s="47"/>
      <c r="F395" s="52">
        <f>J395+N395+R395+V395</f>
        <v>143.5</v>
      </c>
      <c r="G395" s="61">
        <f>11.6-11.6</f>
        <v>0</v>
      </c>
      <c r="H395" s="52">
        <v>11.7</v>
      </c>
      <c r="I395" s="52">
        <f>11.7+11.6</f>
        <v>23.299999999999997</v>
      </c>
      <c r="J395" s="51">
        <f t="shared" si="178"/>
        <v>35</v>
      </c>
      <c r="K395" s="52">
        <f>11.9-5.5</f>
        <v>6.4</v>
      </c>
      <c r="L395" s="52">
        <v>11.9</v>
      </c>
      <c r="M395" s="52">
        <f>12+5.5</f>
        <v>17.5</v>
      </c>
      <c r="N395" s="51">
        <f t="shared" si="179"/>
        <v>35.8</v>
      </c>
      <c r="O395" s="52">
        <v>11.9</v>
      </c>
      <c r="P395" s="52">
        <v>11.9</v>
      </c>
      <c r="Q395" s="52">
        <v>12</v>
      </c>
      <c r="R395" s="51">
        <f t="shared" si="180"/>
        <v>35.8</v>
      </c>
      <c r="S395" s="52">
        <v>12.3</v>
      </c>
      <c r="T395" s="52">
        <v>12.3</v>
      </c>
      <c r="U395" s="52">
        <v>12.3</v>
      </c>
      <c r="V395" s="51">
        <f>S395+T395+U395</f>
        <v>36.900000000000006</v>
      </c>
    </row>
    <row r="396" spans="1:22" s="36" customFormat="1" ht="12.75">
      <c r="A396" s="98"/>
      <c r="B396" s="39" t="s">
        <v>104</v>
      </c>
      <c r="C396" s="39">
        <v>611</v>
      </c>
      <c r="D396" s="49" t="s">
        <v>157</v>
      </c>
      <c r="E396" s="47"/>
      <c r="F396" s="52">
        <f t="shared" si="177"/>
        <v>250</v>
      </c>
      <c r="G396" s="61">
        <f>20.8-20.8</f>
        <v>0</v>
      </c>
      <c r="H396" s="52">
        <v>20.8</v>
      </c>
      <c r="I396" s="52">
        <f>20.9+20.8</f>
        <v>41.7</v>
      </c>
      <c r="J396" s="51">
        <f t="shared" si="178"/>
        <v>62.5</v>
      </c>
      <c r="K396" s="52">
        <f>20.8-5.9-5</f>
        <v>9.9</v>
      </c>
      <c r="L396" s="52">
        <v>20.8</v>
      </c>
      <c r="M396" s="52">
        <f>20.9+5.9+5</f>
        <v>31.799999999999997</v>
      </c>
      <c r="N396" s="51">
        <f t="shared" si="179"/>
        <v>62.5</v>
      </c>
      <c r="O396" s="52">
        <v>20.8</v>
      </c>
      <c r="P396" s="52">
        <v>20.8</v>
      </c>
      <c r="Q396" s="52">
        <v>20.9</v>
      </c>
      <c r="R396" s="51">
        <f t="shared" si="180"/>
        <v>62.5</v>
      </c>
      <c r="S396" s="52">
        <v>20.8</v>
      </c>
      <c r="T396" s="52">
        <v>20.8</v>
      </c>
      <c r="U396" s="52">
        <v>20.9</v>
      </c>
      <c r="V396" s="51">
        <f t="shared" si="181"/>
        <v>62.5</v>
      </c>
    </row>
    <row r="397" spans="1:22" s="36" customFormat="1" ht="12.75">
      <c r="A397" s="98"/>
      <c r="B397" s="39" t="s">
        <v>106</v>
      </c>
      <c r="C397" s="39">
        <v>611</v>
      </c>
      <c r="D397" s="49" t="s">
        <v>158</v>
      </c>
      <c r="E397" s="47"/>
      <c r="F397" s="52">
        <f t="shared" si="177"/>
        <v>1542.8000000000002</v>
      </c>
      <c r="G397" s="61">
        <f>61.9-61.9</f>
        <v>0</v>
      </c>
      <c r="H397" s="52">
        <v>61.9</v>
      </c>
      <c r="I397" s="52">
        <f>61.9+61.9</f>
        <v>123.8</v>
      </c>
      <c r="J397" s="51">
        <f t="shared" si="178"/>
        <v>185.7</v>
      </c>
      <c r="K397" s="52">
        <f>28-18.4</f>
        <v>9.600000000000001</v>
      </c>
      <c r="L397" s="52">
        <f>29+18.4</f>
        <v>47.4</v>
      </c>
      <c r="M397" s="52">
        <v>28.7</v>
      </c>
      <c r="N397" s="51">
        <f t="shared" si="179"/>
        <v>85.7</v>
      </c>
      <c r="O397" s="52">
        <v>195.2</v>
      </c>
      <c r="P397" s="52">
        <v>195.2</v>
      </c>
      <c r="Q397" s="52">
        <v>195.3</v>
      </c>
      <c r="R397" s="51">
        <f t="shared" si="180"/>
        <v>585.7</v>
      </c>
      <c r="S397" s="52">
        <v>228.6</v>
      </c>
      <c r="T397" s="52">
        <v>228.6</v>
      </c>
      <c r="U397" s="52">
        <v>228.5</v>
      </c>
      <c r="V397" s="51">
        <f t="shared" si="181"/>
        <v>685.7</v>
      </c>
    </row>
    <row r="398" spans="1:22" s="36" customFormat="1" ht="12.75" hidden="1">
      <c r="A398" s="98"/>
      <c r="B398" s="39" t="s">
        <v>114</v>
      </c>
      <c r="C398" s="39">
        <v>611</v>
      </c>
      <c r="D398" s="49" t="s">
        <v>159</v>
      </c>
      <c r="E398" s="47"/>
      <c r="F398" s="52">
        <f t="shared" si="177"/>
        <v>10</v>
      </c>
      <c r="G398" s="52">
        <f>G399+G400</f>
        <v>0.8</v>
      </c>
      <c r="H398" s="52">
        <f>H399+H400</f>
        <v>0.8</v>
      </c>
      <c r="I398" s="52">
        <f>I399+I400</f>
        <v>0.9</v>
      </c>
      <c r="J398" s="51">
        <f t="shared" si="178"/>
        <v>2.5</v>
      </c>
      <c r="K398" s="52">
        <f>K399+K400</f>
        <v>0.8</v>
      </c>
      <c r="L398" s="52">
        <f>L399+L400</f>
        <v>0.8</v>
      </c>
      <c r="M398" s="52">
        <f>M399+M400</f>
        <v>0.9</v>
      </c>
      <c r="N398" s="51">
        <f t="shared" si="179"/>
        <v>2.5</v>
      </c>
      <c r="O398" s="52">
        <f>O399+O400</f>
        <v>0.8</v>
      </c>
      <c r="P398" s="52">
        <f>P399+P400</f>
        <v>0.8</v>
      </c>
      <c r="Q398" s="52">
        <f>Q399+Q400</f>
        <v>0.9</v>
      </c>
      <c r="R398" s="51">
        <f>O398+P398+Q398</f>
        <v>2.5</v>
      </c>
      <c r="S398" s="52">
        <f>S399+S400</f>
        <v>0.8</v>
      </c>
      <c r="T398" s="52">
        <f>T399+T400</f>
        <v>0.8</v>
      </c>
      <c r="U398" s="52">
        <f>U399+U400</f>
        <v>0.9</v>
      </c>
      <c r="V398" s="51">
        <f t="shared" si="181"/>
        <v>2.5</v>
      </c>
    </row>
    <row r="399" spans="1:22" s="36" customFormat="1" ht="12.75" hidden="1">
      <c r="A399" s="98"/>
      <c r="B399" s="39" t="s">
        <v>108</v>
      </c>
      <c r="C399" s="39">
        <v>611</v>
      </c>
      <c r="D399" s="49" t="s">
        <v>160</v>
      </c>
      <c r="E399" s="47"/>
      <c r="F399" s="52">
        <f t="shared" si="177"/>
        <v>0</v>
      </c>
      <c r="G399" s="52"/>
      <c r="H399" s="52"/>
      <c r="I399" s="52"/>
      <c r="J399" s="51">
        <f t="shared" si="178"/>
        <v>0</v>
      </c>
      <c r="K399" s="52"/>
      <c r="L399" s="52"/>
      <c r="M399" s="52">
        <f>100-67.41735-32.58265</f>
        <v>0</v>
      </c>
      <c r="N399" s="51">
        <f t="shared" si="179"/>
        <v>0</v>
      </c>
      <c r="O399" s="52">
        <f>32.58265+67.41735-100</f>
        <v>0</v>
      </c>
      <c r="P399" s="52"/>
      <c r="Q399" s="52"/>
      <c r="R399" s="51">
        <f t="shared" si="180"/>
        <v>0</v>
      </c>
      <c r="S399" s="52">
        <f>500-500</f>
        <v>0</v>
      </c>
      <c r="T399" s="52"/>
      <c r="U399" s="52"/>
      <c r="V399" s="51">
        <f t="shared" si="181"/>
        <v>0</v>
      </c>
    </row>
    <row r="400" spans="1:22" s="36" customFormat="1" ht="12.75" hidden="1">
      <c r="A400" s="98"/>
      <c r="B400" s="39" t="s">
        <v>110</v>
      </c>
      <c r="C400" s="39">
        <v>611</v>
      </c>
      <c r="D400" s="49" t="s">
        <v>161</v>
      </c>
      <c r="E400" s="47"/>
      <c r="F400" s="52">
        <f t="shared" si="177"/>
        <v>10</v>
      </c>
      <c r="G400" s="52">
        <f>G401+G402</f>
        <v>0.8</v>
      </c>
      <c r="H400" s="52">
        <f>H401+H402</f>
        <v>0.8</v>
      </c>
      <c r="I400" s="52">
        <f>I401+I402</f>
        <v>0.9</v>
      </c>
      <c r="J400" s="51">
        <f t="shared" si="178"/>
        <v>2.5</v>
      </c>
      <c r="K400" s="52">
        <f>K401+K402</f>
        <v>0.8</v>
      </c>
      <c r="L400" s="52">
        <f>L401+L402</f>
        <v>0.8</v>
      </c>
      <c r="M400" s="52">
        <f>M401+M402</f>
        <v>0.9</v>
      </c>
      <c r="N400" s="51">
        <f t="shared" si="179"/>
        <v>2.5</v>
      </c>
      <c r="O400" s="52">
        <f>O401+O402</f>
        <v>0.8</v>
      </c>
      <c r="P400" s="52">
        <f>P401+P402</f>
        <v>0.8</v>
      </c>
      <c r="Q400" s="52">
        <f>Q401+Q402</f>
        <v>0.9</v>
      </c>
      <c r="R400" s="51">
        <f t="shared" si="180"/>
        <v>2.5</v>
      </c>
      <c r="S400" s="52">
        <f>S401+S402</f>
        <v>0.8</v>
      </c>
      <c r="T400" s="52">
        <f>T401+T402</f>
        <v>0.8</v>
      </c>
      <c r="U400" s="52">
        <f>U401+U402</f>
        <v>0.9</v>
      </c>
      <c r="V400" s="51">
        <f>S400+T400+U400</f>
        <v>2.5</v>
      </c>
    </row>
    <row r="401" spans="1:22" s="36" customFormat="1" ht="12.75" hidden="1">
      <c r="A401" s="98"/>
      <c r="B401" s="39" t="s">
        <v>139</v>
      </c>
      <c r="C401" s="39">
        <v>611</v>
      </c>
      <c r="D401" s="49" t="s">
        <v>161</v>
      </c>
      <c r="E401" s="47"/>
      <c r="F401" s="52">
        <f t="shared" si="177"/>
        <v>0</v>
      </c>
      <c r="G401" s="52"/>
      <c r="H401" s="52"/>
      <c r="I401" s="52"/>
      <c r="J401" s="51">
        <f t="shared" si="178"/>
        <v>0</v>
      </c>
      <c r="K401" s="52"/>
      <c r="L401" s="52"/>
      <c r="M401" s="52"/>
      <c r="N401" s="51">
        <f t="shared" si="179"/>
        <v>0</v>
      </c>
      <c r="O401" s="52"/>
      <c r="P401" s="52"/>
      <c r="Q401" s="52"/>
      <c r="R401" s="51">
        <f t="shared" si="180"/>
        <v>0</v>
      </c>
      <c r="S401" s="52"/>
      <c r="T401" s="52"/>
      <c r="U401" s="52"/>
      <c r="V401" s="51">
        <f t="shared" si="181"/>
        <v>0</v>
      </c>
    </row>
    <row r="402" spans="1:22" s="36" customFormat="1" ht="12.75">
      <c r="A402" s="98"/>
      <c r="B402" s="39" t="s">
        <v>116</v>
      </c>
      <c r="C402" s="39">
        <v>611</v>
      </c>
      <c r="D402" s="49" t="s">
        <v>161</v>
      </c>
      <c r="E402" s="47"/>
      <c r="F402" s="52">
        <f t="shared" si="177"/>
        <v>10</v>
      </c>
      <c r="G402" s="52">
        <v>0.8</v>
      </c>
      <c r="H402" s="52">
        <v>0.8</v>
      </c>
      <c r="I402" s="52">
        <v>0.9</v>
      </c>
      <c r="J402" s="51">
        <f t="shared" si="178"/>
        <v>2.5</v>
      </c>
      <c r="K402" s="52">
        <v>0.8</v>
      </c>
      <c r="L402" s="52">
        <v>0.8</v>
      </c>
      <c r="M402" s="52">
        <v>0.9</v>
      </c>
      <c r="N402" s="51">
        <f t="shared" si="179"/>
        <v>2.5</v>
      </c>
      <c r="O402" s="52">
        <v>0.8</v>
      </c>
      <c r="P402" s="52">
        <v>0.8</v>
      </c>
      <c r="Q402" s="52">
        <v>0.9</v>
      </c>
      <c r="R402" s="51">
        <f t="shared" si="180"/>
        <v>2.5</v>
      </c>
      <c r="S402" s="52">
        <v>0.8</v>
      </c>
      <c r="T402" s="52">
        <v>0.8</v>
      </c>
      <c r="U402" s="52">
        <v>0.9</v>
      </c>
      <c r="V402" s="51">
        <f t="shared" si="181"/>
        <v>2.5</v>
      </c>
    </row>
    <row r="403" spans="1:22" s="36" customFormat="1" ht="21" customHeight="1" hidden="1">
      <c r="A403" s="98"/>
      <c r="B403" s="39" t="s">
        <v>235</v>
      </c>
      <c r="C403" s="39">
        <v>610</v>
      </c>
      <c r="D403" s="139"/>
      <c r="E403" s="140"/>
      <c r="F403" s="57">
        <f>J403+N403+R403+V403</f>
        <v>0</v>
      </c>
      <c r="G403" s="53">
        <f>G404</f>
        <v>0</v>
      </c>
      <c r="H403" s="53">
        <f>H404</f>
        <v>0</v>
      </c>
      <c r="I403" s="53">
        <f>I404</f>
        <v>0</v>
      </c>
      <c r="J403" s="57">
        <f>SUM(G403:I403)</f>
        <v>0</v>
      </c>
      <c r="K403" s="53">
        <f>K404</f>
        <v>0</v>
      </c>
      <c r="L403" s="53">
        <f>L404</f>
        <v>0</v>
      </c>
      <c r="M403" s="53">
        <f>M404</f>
        <v>0</v>
      </c>
      <c r="N403" s="57">
        <f>SUM(K403:M403)</f>
        <v>0</v>
      </c>
      <c r="O403" s="53">
        <f>O404</f>
        <v>0</v>
      </c>
      <c r="P403" s="53">
        <f>P404</f>
        <v>0</v>
      </c>
      <c r="Q403" s="53">
        <f>Q404</f>
        <v>0</v>
      </c>
      <c r="R403" s="57">
        <f>SUM(O403:Q403)</f>
        <v>0</v>
      </c>
      <c r="S403" s="53">
        <f>S404</f>
        <v>0</v>
      </c>
      <c r="T403" s="53">
        <f>T404</f>
        <v>0</v>
      </c>
      <c r="U403" s="53">
        <f>U404</f>
        <v>0</v>
      </c>
      <c r="V403" s="57">
        <f aca="true" t="shared" si="182" ref="V403:V413">SUM(S403:U403)</f>
        <v>0</v>
      </c>
    </row>
    <row r="404" spans="1:22" s="36" customFormat="1" ht="15" customHeight="1" hidden="1">
      <c r="A404" s="98"/>
      <c r="B404" s="39" t="s">
        <v>236</v>
      </c>
      <c r="C404" s="39">
        <v>611</v>
      </c>
      <c r="D404" s="49" t="s">
        <v>154</v>
      </c>
      <c r="E404" s="47"/>
      <c r="F404" s="53">
        <f>J404+N404+R404+V404</f>
        <v>0</v>
      </c>
      <c r="G404" s="53">
        <f>G405</f>
        <v>0</v>
      </c>
      <c r="H404" s="53"/>
      <c r="I404" s="53"/>
      <c r="J404" s="57">
        <f>SUM(G404:I404)</f>
        <v>0</v>
      </c>
      <c r="K404" s="53">
        <v>0</v>
      </c>
      <c r="L404" s="53">
        <v>0</v>
      </c>
      <c r="M404" s="53">
        <v>0</v>
      </c>
      <c r="N404" s="57">
        <f>SUM(K404:M404)</f>
        <v>0</v>
      </c>
      <c r="O404" s="53">
        <v>0</v>
      </c>
      <c r="P404" s="53">
        <v>0</v>
      </c>
      <c r="Q404" s="53">
        <v>0</v>
      </c>
      <c r="R404" s="57">
        <f>SUM(O404:Q404)</f>
        <v>0</v>
      </c>
      <c r="S404" s="53">
        <v>0</v>
      </c>
      <c r="T404" s="53">
        <v>0</v>
      </c>
      <c r="U404" s="53">
        <v>0</v>
      </c>
      <c r="V404" s="57">
        <f t="shared" si="182"/>
        <v>0</v>
      </c>
    </row>
    <row r="405" spans="1:22" s="36" customFormat="1" ht="41.25" customHeight="1" hidden="1">
      <c r="A405" s="98"/>
      <c r="B405" s="39" t="s">
        <v>237</v>
      </c>
      <c r="C405" s="39">
        <v>610</v>
      </c>
      <c r="D405" s="139"/>
      <c r="E405" s="140"/>
      <c r="F405" s="57">
        <f>N405+R405+V405</f>
        <v>0</v>
      </c>
      <c r="G405" s="53">
        <f>G406+G407</f>
        <v>0</v>
      </c>
      <c r="H405" s="53">
        <f>H406+H407</f>
        <v>0</v>
      </c>
      <c r="I405" s="53">
        <f>I406+I407</f>
        <v>0</v>
      </c>
      <c r="J405" s="57">
        <f>G405+H405+I405</f>
        <v>0</v>
      </c>
      <c r="K405" s="53">
        <f>K406+K407</f>
        <v>0</v>
      </c>
      <c r="L405" s="53">
        <f>L406+L407</f>
        <v>0</v>
      </c>
      <c r="M405" s="53">
        <f>M406+M407</f>
        <v>0</v>
      </c>
      <c r="N405" s="57">
        <f>K405+L405+M405</f>
        <v>0</v>
      </c>
      <c r="O405" s="53">
        <f>O406+O407</f>
        <v>0</v>
      </c>
      <c r="P405" s="53">
        <f>P406+P407</f>
        <v>0</v>
      </c>
      <c r="Q405" s="53">
        <f>Q406+Q407</f>
        <v>0</v>
      </c>
      <c r="R405" s="57">
        <f>O405+P405+Q405</f>
        <v>0</v>
      </c>
      <c r="S405" s="53">
        <f>S406+S407</f>
        <v>0</v>
      </c>
      <c r="T405" s="53">
        <f>T406+T407</f>
        <v>0</v>
      </c>
      <c r="U405" s="53">
        <f>U406+U407</f>
        <v>0</v>
      </c>
      <c r="V405" s="57">
        <f t="shared" si="182"/>
        <v>0</v>
      </c>
    </row>
    <row r="406" spans="1:22" s="36" customFormat="1" ht="12.75" hidden="1">
      <c r="A406" s="98"/>
      <c r="B406" s="39" t="s">
        <v>147</v>
      </c>
      <c r="C406" s="39">
        <v>611</v>
      </c>
      <c r="D406" s="49" t="s">
        <v>157</v>
      </c>
      <c r="E406" s="47"/>
      <c r="F406" s="52">
        <f aca="true" t="shared" si="183" ref="F406:F412">J406+N406+R406+V406</f>
        <v>0</v>
      </c>
      <c r="G406" s="52">
        <f>G416</f>
        <v>0</v>
      </c>
      <c r="H406" s="52"/>
      <c r="I406" s="52"/>
      <c r="J406" s="51">
        <f>SUM(G406:I406)</f>
        <v>0</v>
      </c>
      <c r="K406" s="52"/>
      <c r="L406" s="52"/>
      <c r="M406" s="52"/>
      <c r="N406" s="51">
        <f>SUM(K406:M406)</f>
        <v>0</v>
      </c>
      <c r="O406" s="52"/>
      <c r="P406" s="52"/>
      <c r="Q406" s="52"/>
      <c r="R406" s="51">
        <f>SUM(O406:Q406)</f>
        <v>0</v>
      </c>
      <c r="S406" s="52">
        <f aca="true" t="shared" si="184" ref="S406:U407">S416</f>
        <v>0</v>
      </c>
      <c r="T406" s="52">
        <f t="shared" si="184"/>
        <v>0</v>
      </c>
      <c r="U406" s="52">
        <f t="shared" si="184"/>
        <v>0</v>
      </c>
      <c r="V406" s="51">
        <f t="shared" si="182"/>
        <v>0</v>
      </c>
    </row>
    <row r="407" spans="1:22" s="36" customFormat="1" ht="12.75" hidden="1">
      <c r="A407" s="98"/>
      <c r="B407" s="39" t="s">
        <v>106</v>
      </c>
      <c r="C407" s="39">
        <v>611</v>
      </c>
      <c r="D407" s="49" t="s">
        <v>158</v>
      </c>
      <c r="E407" s="47"/>
      <c r="F407" s="52">
        <f t="shared" si="183"/>
        <v>0</v>
      </c>
      <c r="G407" s="52">
        <f>G417</f>
        <v>0</v>
      </c>
      <c r="H407" s="52"/>
      <c r="I407" s="52"/>
      <c r="J407" s="51">
        <f>SUM(G407:I407)</f>
        <v>0</v>
      </c>
      <c r="K407" s="52"/>
      <c r="L407" s="52"/>
      <c r="M407" s="52"/>
      <c r="N407" s="51">
        <f>SUM(K407:M407)</f>
        <v>0</v>
      </c>
      <c r="O407" s="52"/>
      <c r="P407" s="52"/>
      <c r="Q407" s="52"/>
      <c r="R407" s="51">
        <f>SUM(O407:Q407)</f>
        <v>0</v>
      </c>
      <c r="S407" s="52">
        <f t="shared" si="184"/>
        <v>0</v>
      </c>
      <c r="T407" s="52">
        <f t="shared" si="184"/>
        <v>0</v>
      </c>
      <c r="U407" s="52">
        <f t="shared" si="184"/>
        <v>0</v>
      </c>
      <c r="V407" s="51">
        <f t="shared" si="182"/>
        <v>0</v>
      </c>
    </row>
    <row r="408" spans="1:22" s="36" customFormat="1" ht="91.5" customHeight="1" hidden="1">
      <c r="A408" s="98"/>
      <c r="B408" s="114" t="s">
        <v>271</v>
      </c>
      <c r="C408" s="39">
        <v>611</v>
      </c>
      <c r="D408" s="131" t="s">
        <v>202</v>
      </c>
      <c r="E408" s="132"/>
      <c r="F408" s="52">
        <f t="shared" si="183"/>
        <v>0</v>
      </c>
      <c r="G408" s="52">
        <f>G409+G410</f>
        <v>0</v>
      </c>
      <c r="H408" s="52">
        <f>H409+H410</f>
        <v>0</v>
      </c>
      <c r="I408" s="52">
        <f>I409+I410</f>
        <v>0</v>
      </c>
      <c r="J408" s="51">
        <f>G408+H408+I408</f>
        <v>0</v>
      </c>
      <c r="K408" s="52">
        <f>K409+K410</f>
        <v>0</v>
      </c>
      <c r="L408" s="52">
        <f>L409+L410</f>
        <v>0</v>
      </c>
      <c r="M408" s="52">
        <f>M409+M410</f>
        <v>0</v>
      </c>
      <c r="N408" s="51">
        <f>K408+L408+M408</f>
        <v>0</v>
      </c>
      <c r="O408" s="52">
        <f>O409+O410</f>
        <v>0</v>
      </c>
      <c r="P408" s="52">
        <f>P409+P410</f>
        <v>0</v>
      </c>
      <c r="Q408" s="52">
        <f>Q409+Q410</f>
        <v>0</v>
      </c>
      <c r="R408" s="51">
        <f>O408+P408+Q408</f>
        <v>0</v>
      </c>
      <c r="S408" s="52">
        <f>S409+S410</f>
        <v>0</v>
      </c>
      <c r="T408" s="52">
        <f>T409+T410</f>
        <v>0</v>
      </c>
      <c r="U408" s="52">
        <f>U409+U410</f>
        <v>0</v>
      </c>
      <c r="V408" s="51">
        <f>S408+T408+U408</f>
        <v>0</v>
      </c>
    </row>
    <row r="409" spans="1:22" s="36" customFormat="1" ht="12.75" hidden="1">
      <c r="A409" s="98"/>
      <c r="B409" s="39" t="s">
        <v>90</v>
      </c>
      <c r="C409" s="39">
        <v>611</v>
      </c>
      <c r="D409" s="131" t="s">
        <v>91</v>
      </c>
      <c r="E409" s="132"/>
      <c r="F409" s="52">
        <f t="shared" si="183"/>
        <v>0</v>
      </c>
      <c r="G409" s="52"/>
      <c r="H409" s="52"/>
      <c r="I409" s="52"/>
      <c r="J409" s="51">
        <f>G409+H409+I409</f>
        <v>0</v>
      </c>
      <c r="K409" s="52"/>
      <c r="L409" s="52"/>
      <c r="M409" s="52"/>
      <c r="N409" s="51">
        <f>K409+L409+M409</f>
        <v>0</v>
      </c>
      <c r="O409" s="52"/>
      <c r="P409" s="52"/>
      <c r="Q409" s="52"/>
      <c r="R409" s="51">
        <f>O409+P409+Q409</f>
        <v>0</v>
      </c>
      <c r="S409" s="52"/>
      <c r="T409" s="52"/>
      <c r="U409" s="52"/>
      <c r="V409" s="51">
        <f>S409+T409+U409</f>
        <v>0</v>
      </c>
    </row>
    <row r="410" spans="1:22" s="36" customFormat="1" ht="12.75" hidden="1">
      <c r="A410" s="98"/>
      <c r="B410" s="39" t="s">
        <v>94</v>
      </c>
      <c r="C410" s="39">
        <v>611</v>
      </c>
      <c r="D410" s="131" t="s">
        <v>95</v>
      </c>
      <c r="E410" s="132"/>
      <c r="F410" s="52">
        <f t="shared" si="183"/>
        <v>0</v>
      </c>
      <c r="G410" s="52"/>
      <c r="H410" s="52"/>
      <c r="I410" s="52"/>
      <c r="J410" s="51">
        <f>G410+H410+I410</f>
        <v>0</v>
      </c>
      <c r="K410" s="52"/>
      <c r="L410" s="52"/>
      <c r="M410" s="52"/>
      <c r="N410" s="51">
        <f>K410+L410+M410</f>
        <v>0</v>
      </c>
      <c r="O410" s="52"/>
      <c r="P410" s="52"/>
      <c r="Q410" s="52"/>
      <c r="R410" s="51">
        <f>O410+P410+Q410</f>
        <v>0</v>
      </c>
      <c r="S410" s="52"/>
      <c r="T410" s="52"/>
      <c r="U410" s="52"/>
      <c r="V410" s="51">
        <f>S410+T410+U410</f>
        <v>0</v>
      </c>
    </row>
    <row r="411" spans="1:22" s="36" customFormat="1" ht="51">
      <c r="A411" s="98" t="s">
        <v>295</v>
      </c>
      <c r="B411" s="41" t="s">
        <v>290</v>
      </c>
      <c r="C411" s="39">
        <v>612</v>
      </c>
      <c r="D411" s="129"/>
      <c r="E411" s="130"/>
      <c r="F411" s="52">
        <f t="shared" si="183"/>
        <v>72.7</v>
      </c>
      <c r="G411" s="61">
        <f>G412</f>
        <v>0</v>
      </c>
      <c r="H411" s="52">
        <f>H412</f>
        <v>4.2</v>
      </c>
      <c r="I411" s="52">
        <f>I412</f>
        <v>8.5</v>
      </c>
      <c r="J411" s="51">
        <f>SUM(G411:I411)</f>
        <v>12.7</v>
      </c>
      <c r="K411" s="52">
        <f>K412</f>
        <v>6.6</v>
      </c>
      <c r="L411" s="52">
        <f>L412</f>
        <v>6.7</v>
      </c>
      <c r="M411" s="52">
        <f>M412</f>
        <v>6.7</v>
      </c>
      <c r="N411" s="51">
        <f>SUM(K411:M411)</f>
        <v>20</v>
      </c>
      <c r="O411" s="52">
        <f>O412</f>
        <v>6.6</v>
      </c>
      <c r="P411" s="52">
        <f>P412</f>
        <v>6.7</v>
      </c>
      <c r="Q411" s="52">
        <f>Q412</f>
        <v>6.7</v>
      </c>
      <c r="R411" s="51">
        <f>SUM(O411:Q411)</f>
        <v>20</v>
      </c>
      <c r="S411" s="52">
        <f>S412</f>
        <v>6.6</v>
      </c>
      <c r="T411" s="52">
        <f>T412</f>
        <v>6.7</v>
      </c>
      <c r="U411" s="52">
        <f>U412</f>
        <v>6.7</v>
      </c>
      <c r="V411" s="51">
        <f>SUM(S411:U411)</f>
        <v>20</v>
      </c>
    </row>
    <row r="412" spans="1:22" s="36" customFormat="1" ht="26.25">
      <c r="A412" s="98"/>
      <c r="B412" s="43" t="s">
        <v>249</v>
      </c>
      <c r="C412" s="39">
        <v>612</v>
      </c>
      <c r="D412" s="129" t="s">
        <v>160</v>
      </c>
      <c r="E412" s="130"/>
      <c r="F412" s="52">
        <f t="shared" si="183"/>
        <v>72.7</v>
      </c>
      <c r="G412" s="61">
        <f>4.2-4.2</f>
        <v>0</v>
      </c>
      <c r="H412" s="52">
        <v>4.2</v>
      </c>
      <c r="I412" s="52">
        <f>4.3+4.2</f>
        <v>8.5</v>
      </c>
      <c r="J412" s="51">
        <f>SUM(G412:I412)</f>
        <v>12.7</v>
      </c>
      <c r="K412" s="52">
        <v>6.6</v>
      </c>
      <c r="L412" s="52">
        <v>6.7</v>
      </c>
      <c r="M412" s="52">
        <v>6.7</v>
      </c>
      <c r="N412" s="51">
        <f>SUM(K412:M412)</f>
        <v>20</v>
      </c>
      <c r="O412" s="52">
        <v>6.6</v>
      </c>
      <c r="P412" s="52">
        <v>6.7</v>
      </c>
      <c r="Q412" s="52">
        <v>6.7</v>
      </c>
      <c r="R412" s="51">
        <f>SUM(O412:Q412)</f>
        <v>20</v>
      </c>
      <c r="S412" s="52">
        <v>6.6</v>
      </c>
      <c r="T412" s="52">
        <v>6.7</v>
      </c>
      <c r="U412" s="52">
        <v>6.7</v>
      </c>
      <c r="V412" s="51">
        <f>SUM(S412:U412)</f>
        <v>20</v>
      </c>
    </row>
    <row r="413" spans="1:22" s="36" customFormat="1" ht="45" customHeight="1">
      <c r="A413" s="98"/>
      <c r="B413" s="41" t="s">
        <v>207</v>
      </c>
      <c r="C413" s="41">
        <v>240</v>
      </c>
      <c r="D413" s="137"/>
      <c r="E413" s="138"/>
      <c r="F413" s="57">
        <f t="shared" si="177"/>
        <v>137</v>
      </c>
      <c r="G413" s="65">
        <f>G415+G414</f>
        <v>0</v>
      </c>
      <c r="H413" s="53">
        <f>H415+H414</f>
        <v>10.7</v>
      </c>
      <c r="I413" s="53">
        <f>I415+I414</f>
        <v>21.299999999999997</v>
      </c>
      <c r="J413" s="57">
        <f>SUM(G413:I413)</f>
        <v>31.999999999999996</v>
      </c>
      <c r="K413" s="53">
        <f>K415+K414</f>
        <v>11.6</v>
      </c>
      <c r="L413" s="53">
        <f>L415+L414</f>
        <v>11.8</v>
      </c>
      <c r="M413" s="53">
        <f>M415+M414</f>
        <v>11.6</v>
      </c>
      <c r="N413" s="57">
        <f>SUM(K413:M413)</f>
        <v>35</v>
      </c>
      <c r="O413" s="53">
        <f>O415+O414</f>
        <v>11.6</v>
      </c>
      <c r="P413" s="53">
        <f>P415+P414</f>
        <v>11.7</v>
      </c>
      <c r="Q413" s="53">
        <f>Q415+Q414</f>
        <v>11.7</v>
      </c>
      <c r="R413" s="57">
        <f>SUM(O413:Q413)</f>
        <v>35</v>
      </c>
      <c r="S413" s="53">
        <f>S415+S414</f>
        <v>11.6</v>
      </c>
      <c r="T413" s="53">
        <f>T415+T414</f>
        <v>16.13</v>
      </c>
      <c r="U413" s="53">
        <f>U415+U414</f>
        <v>7.27</v>
      </c>
      <c r="V413" s="57">
        <f t="shared" si="182"/>
        <v>35</v>
      </c>
    </row>
    <row r="414" spans="1:22" s="36" customFormat="1" ht="15" customHeight="1" hidden="1">
      <c r="A414" s="98"/>
      <c r="B414" s="39" t="s">
        <v>104</v>
      </c>
      <c r="C414" s="41">
        <v>244</v>
      </c>
      <c r="D414" s="137" t="s">
        <v>105</v>
      </c>
      <c r="E414" s="138"/>
      <c r="F414" s="52">
        <f>N414+R414+V414+J414</f>
        <v>0</v>
      </c>
      <c r="G414" s="60"/>
      <c r="H414" s="52"/>
      <c r="I414" s="52"/>
      <c r="J414" s="51">
        <f>G414+H414+I414</f>
        <v>0</v>
      </c>
      <c r="K414" s="52"/>
      <c r="L414" s="52"/>
      <c r="M414" s="52"/>
      <c r="N414" s="51">
        <f>K414+L414+M414</f>
        <v>0</v>
      </c>
      <c r="O414" s="52"/>
      <c r="P414" s="52"/>
      <c r="Q414" s="52"/>
      <c r="R414" s="51">
        <f>O414+P414+Q414</f>
        <v>0</v>
      </c>
      <c r="S414" s="52"/>
      <c r="T414" s="52"/>
      <c r="U414" s="52"/>
      <c r="V414" s="51">
        <f>S414+T414+U414</f>
        <v>0</v>
      </c>
    </row>
    <row r="415" spans="1:22" s="36" customFormat="1" ht="12.75">
      <c r="A415" s="98"/>
      <c r="B415" s="39" t="s">
        <v>106</v>
      </c>
      <c r="C415" s="39">
        <v>244</v>
      </c>
      <c r="D415" s="131" t="s">
        <v>107</v>
      </c>
      <c r="E415" s="132"/>
      <c r="F415" s="52">
        <f>N415+R415+V415+J415</f>
        <v>137</v>
      </c>
      <c r="G415" s="61">
        <f>10.6-10.6</f>
        <v>0</v>
      </c>
      <c r="H415" s="52">
        <v>10.7</v>
      </c>
      <c r="I415" s="52">
        <f>10.7+10.6</f>
        <v>21.299999999999997</v>
      </c>
      <c r="J415" s="51">
        <f>G415+H415+I415</f>
        <v>31.999999999999996</v>
      </c>
      <c r="K415" s="52">
        <v>11.6</v>
      </c>
      <c r="L415" s="52">
        <v>11.8</v>
      </c>
      <c r="M415" s="52">
        <v>11.6</v>
      </c>
      <c r="N415" s="51">
        <f>K415+L415+M415</f>
        <v>35</v>
      </c>
      <c r="O415" s="52">
        <v>11.6</v>
      </c>
      <c r="P415" s="52">
        <v>11.7</v>
      </c>
      <c r="Q415" s="52">
        <v>11.7</v>
      </c>
      <c r="R415" s="51">
        <f>O415+P415+Q415</f>
        <v>35</v>
      </c>
      <c r="S415" s="52">
        <v>11.6</v>
      </c>
      <c r="T415" s="52">
        <f>11.7+4.43</f>
        <v>16.13</v>
      </c>
      <c r="U415" s="52">
        <f>11.7-4.43</f>
        <v>7.27</v>
      </c>
      <c r="V415" s="57">
        <f>S415+T415+U415</f>
        <v>35</v>
      </c>
    </row>
    <row r="416" spans="1:22" s="36" customFormat="1" ht="33.75" customHeight="1" hidden="1">
      <c r="A416" s="98"/>
      <c r="B416" s="41" t="s">
        <v>208</v>
      </c>
      <c r="C416" s="39">
        <v>240</v>
      </c>
      <c r="D416" s="139"/>
      <c r="E416" s="140"/>
      <c r="F416" s="57">
        <f>J416+N416+R416+V416</f>
        <v>0</v>
      </c>
      <c r="G416" s="53">
        <f aca="true" t="shared" si="185" ref="G416:I420">G417</f>
        <v>0</v>
      </c>
      <c r="H416" s="53">
        <f t="shared" si="185"/>
        <v>0</v>
      </c>
      <c r="I416" s="53">
        <f t="shared" si="185"/>
        <v>0</v>
      </c>
      <c r="J416" s="57">
        <f>SUM(G416:I416)</f>
        <v>0</v>
      </c>
      <c r="K416" s="53">
        <f>K417</f>
        <v>0</v>
      </c>
      <c r="L416" s="53">
        <f>L417</f>
        <v>0</v>
      </c>
      <c r="M416" s="53">
        <f>M417</f>
        <v>0</v>
      </c>
      <c r="N416" s="57">
        <f>SUM(K416:M416)</f>
        <v>0</v>
      </c>
      <c r="O416" s="53">
        <f>O417</f>
        <v>0</v>
      </c>
      <c r="P416" s="53">
        <f>P417</f>
        <v>0</v>
      </c>
      <c r="Q416" s="53">
        <f>Q417</f>
        <v>0</v>
      </c>
      <c r="R416" s="57">
        <f>SUM(O416:Q416)</f>
        <v>0</v>
      </c>
      <c r="S416" s="53">
        <f aca="true" t="shared" si="186" ref="S416:U420">S417</f>
        <v>0</v>
      </c>
      <c r="T416" s="53">
        <f t="shared" si="186"/>
        <v>0</v>
      </c>
      <c r="U416" s="53">
        <f t="shared" si="186"/>
        <v>0</v>
      </c>
      <c r="V416" s="57">
        <f aca="true" t="shared" si="187" ref="V416:V421">SUM(S416:U416)</f>
        <v>0</v>
      </c>
    </row>
    <row r="417" spans="1:22" s="36" customFormat="1" ht="12.75" hidden="1">
      <c r="A417" s="98" t="s">
        <v>282</v>
      </c>
      <c r="B417" s="39" t="s">
        <v>108</v>
      </c>
      <c r="C417" s="39">
        <v>244</v>
      </c>
      <c r="D417" s="131" t="s">
        <v>109</v>
      </c>
      <c r="E417" s="132"/>
      <c r="F417" s="53">
        <f>J417+N417+R417+V417</f>
        <v>0</v>
      </c>
      <c r="G417" s="53">
        <v>0</v>
      </c>
      <c r="H417" s="53">
        <v>0</v>
      </c>
      <c r="I417" s="53">
        <v>0</v>
      </c>
      <c r="J417" s="57">
        <f>SUM(G417:I417)</f>
        <v>0</v>
      </c>
      <c r="K417" s="53"/>
      <c r="L417" s="53"/>
      <c r="M417" s="53"/>
      <c r="N417" s="57">
        <f>SUM(K417:M417)</f>
        <v>0</v>
      </c>
      <c r="O417" s="53"/>
      <c r="P417" s="53"/>
      <c r="Q417" s="53"/>
      <c r="R417" s="57">
        <f>SUM(O417:Q417)</f>
        <v>0</v>
      </c>
      <c r="S417" s="53">
        <v>0</v>
      </c>
      <c r="T417" s="53">
        <v>0</v>
      </c>
      <c r="U417" s="53">
        <v>0</v>
      </c>
      <c r="V417" s="57">
        <f t="shared" si="187"/>
        <v>0</v>
      </c>
    </row>
    <row r="418" spans="2:22" s="36" customFormat="1" ht="43.5" customHeight="1" hidden="1">
      <c r="B418" s="41" t="s">
        <v>209</v>
      </c>
      <c r="C418" s="39"/>
      <c r="D418" s="131"/>
      <c r="E418" s="132"/>
      <c r="F418" s="57">
        <f>N418+R418+V418</f>
        <v>0</v>
      </c>
      <c r="G418" s="53">
        <f t="shared" si="185"/>
        <v>0</v>
      </c>
      <c r="H418" s="53">
        <f t="shared" si="185"/>
        <v>0</v>
      </c>
      <c r="I418" s="53">
        <f t="shared" si="185"/>
        <v>0</v>
      </c>
      <c r="J418" s="57">
        <f>G418+H418+I418</f>
        <v>0</v>
      </c>
      <c r="K418" s="53">
        <f>K419</f>
        <v>0</v>
      </c>
      <c r="L418" s="53">
        <f>L419</f>
        <v>0</v>
      </c>
      <c r="M418" s="53">
        <f>M419</f>
        <v>0</v>
      </c>
      <c r="N418" s="57">
        <f>K418+L418+M418</f>
        <v>0</v>
      </c>
      <c r="O418" s="53">
        <f>O419</f>
        <v>0</v>
      </c>
      <c r="P418" s="53">
        <f>P419</f>
        <v>0</v>
      </c>
      <c r="Q418" s="53">
        <f>Q419</f>
        <v>0</v>
      </c>
      <c r="R418" s="57">
        <f>O418+P418+Q418</f>
        <v>0</v>
      </c>
      <c r="S418" s="53">
        <f t="shared" si="186"/>
        <v>0</v>
      </c>
      <c r="T418" s="53">
        <f t="shared" si="186"/>
        <v>0</v>
      </c>
      <c r="U418" s="53">
        <f t="shared" si="186"/>
        <v>0</v>
      </c>
      <c r="V418" s="57">
        <f t="shared" si="187"/>
        <v>0</v>
      </c>
    </row>
    <row r="419" spans="2:22" s="36" customFormat="1" ht="12.75" hidden="1">
      <c r="B419" s="39" t="s">
        <v>108</v>
      </c>
      <c r="C419" s="39">
        <v>244</v>
      </c>
      <c r="D419" s="131" t="s">
        <v>109</v>
      </c>
      <c r="E419" s="132"/>
      <c r="F419" s="52">
        <f aca="true" t="shared" si="188" ref="F419:F425">J419+N419+R419+V419</f>
        <v>0</v>
      </c>
      <c r="G419" s="52">
        <f>G427</f>
        <v>0</v>
      </c>
      <c r="H419" s="52">
        <f>H427</f>
        <v>0</v>
      </c>
      <c r="I419" s="52">
        <f>I427</f>
        <v>0</v>
      </c>
      <c r="J419" s="51">
        <f aca="true" t="shared" si="189" ref="J419:J425">SUM(G419:I419)</f>
        <v>0</v>
      </c>
      <c r="K419" s="52">
        <f>K427</f>
        <v>0</v>
      </c>
      <c r="L419" s="52">
        <f>L427</f>
        <v>0</v>
      </c>
      <c r="M419" s="52">
        <f>M427</f>
        <v>0</v>
      </c>
      <c r="N419" s="51">
        <f aca="true" t="shared" si="190" ref="N419:N425">SUM(K419:M419)</f>
        <v>0</v>
      </c>
      <c r="O419" s="52">
        <v>0</v>
      </c>
      <c r="P419" s="52">
        <v>0</v>
      </c>
      <c r="Q419" s="52">
        <v>0</v>
      </c>
      <c r="R419" s="51">
        <f aca="true" t="shared" si="191" ref="R419:R425">SUM(O419:Q419)</f>
        <v>0</v>
      </c>
      <c r="S419" s="52">
        <f>S427</f>
        <v>0</v>
      </c>
      <c r="T419" s="52">
        <f>T427</f>
        <v>0</v>
      </c>
      <c r="U419" s="52">
        <f>50-50</f>
        <v>0</v>
      </c>
      <c r="V419" s="51">
        <f t="shared" si="187"/>
        <v>0</v>
      </c>
    </row>
    <row r="420" spans="2:22" s="36" customFormat="1" ht="30.75" hidden="1">
      <c r="B420" s="41" t="s">
        <v>219</v>
      </c>
      <c r="C420" s="39">
        <v>240</v>
      </c>
      <c r="D420" s="131"/>
      <c r="E420" s="132"/>
      <c r="F420" s="57">
        <f t="shared" si="188"/>
        <v>0</v>
      </c>
      <c r="G420" s="53">
        <f t="shared" si="185"/>
        <v>0</v>
      </c>
      <c r="H420" s="53">
        <f t="shared" si="185"/>
        <v>0</v>
      </c>
      <c r="I420" s="53">
        <f t="shared" si="185"/>
        <v>0</v>
      </c>
      <c r="J420" s="57">
        <f t="shared" si="189"/>
        <v>0</v>
      </c>
      <c r="K420" s="53">
        <f>K421</f>
        <v>0</v>
      </c>
      <c r="L420" s="53">
        <f>L421</f>
        <v>0</v>
      </c>
      <c r="M420" s="53">
        <f>M421</f>
        <v>0</v>
      </c>
      <c r="N420" s="57">
        <f t="shared" si="190"/>
        <v>0</v>
      </c>
      <c r="O420" s="53">
        <f>O421</f>
        <v>0</v>
      </c>
      <c r="P420" s="53">
        <f>P421</f>
        <v>0</v>
      </c>
      <c r="Q420" s="53">
        <f>Q421</f>
        <v>0</v>
      </c>
      <c r="R420" s="57">
        <f t="shared" si="191"/>
        <v>0</v>
      </c>
      <c r="S420" s="53">
        <f t="shared" si="186"/>
        <v>0</v>
      </c>
      <c r="T420" s="53">
        <f t="shared" si="186"/>
        <v>0</v>
      </c>
      <c r="U420" s="53">
        <f t="shared" si="186"/>
        <v>0</v>
      </c>
      <c r="V420" s="57">
        <f t="shared" si="187"/>
        <v>0</v>
      </c>
    </row>
    <row r="421" spans="2:22" s="36" customFormat="1" ht="12.75" hidden="1">
      <c r="B421" s="39" t="s">
        <v>212</v>
      </c>
      <c r="C421" s="39">
        <v>244</v>
      </c>
      <c r="D421" s="131" t="s">
        <v>103</v>
      </c>
      <c r="E421" s="132"/>
      <c r="F421" s="53">
        <f t="shared" si="188"/>
        <v>0</v>
      </c>
      <c r="G421" s="53"/>
      <c r="H421" s="53"/>
      <c r="I421" s="53"/>
      <c r="J421" s="57">
        <f t="shared" si="189"/>
        <v>0</v>
      </c>
      <c r="K421" s="53"/>
      <c r="L421" s="53"/>
      <c r="M421" s="53"/>
      <c r="N421" s="57">
        <f t="shared" si="190"/>
        <v>0</v>
      </c>
      <c r="O421" s="53">
        <v>0</v>
      </c>
      <c r="P421" s="53">
        <v>0</v>
      </c>
      <c r="Q421" s="53">
        <v>0</v>
      </c>
      <c r="R421" s="57">
        <f t="shared" si="191"/>
        <v>0</v>
      </c>
      <c r="S421" s="53">
        <v>0</v>
      </c>
      <c r="T421" s="53">
        <v>0</v>
      </c>
      <c r="U421" s="53">
        <v>0</v>
      </c>
      <c r="V421" s="57">
        <f t="shared" si="187"/>
        <v>0</v>
      </c>
    </row>
    <row r="422" spans="2:22" s="36" customFormat="1" ht="72">
      <c r="B422" s="41" t="s">
        <v>307</v>
      </c>
      <c r="C422" s="39">
        <v>600</v>
      </c>
      <c r="D422" s="131"/>
      <c r="E422" s="132"/>
      <c r="F422" s="53">
        <f t="shared" si="188"/>
        <v>3527.3</v>
      </c>
      <c r="G422" s="65">
        <f>G423</f>
        <v>0</v>
      </c>
      <c r="H422" s="65">
        <f>H423</f>
        <v>0</v>
      </c>
      <c r="I422" s="65">
        <f>I423</f>
        <v>0</v>
      </c>
      <c r="J422" s="67">
        <f t="shared" si="189"/>
        <v>0</v>
      </c>
      <c r="K422" s="65">
        <f>K423</f>
        <v>0</v>
      </c>
      <c r="L422" s="65">
        <f>L423</f>
        <v>0</v>
      </c>
      <c r="M422" s="65">
        <f>M423</f>
        <v>0</v>
      </c>
      <c r="N422" s="67">
        <f t="shared" si="190"/>
        <v>0</v>
      </c>
      <c r="O422" s="65">
        <f>O423</f>
        <v>0</v>
      </c>
      <c r="P422" s="65">
        <f>P423</f>
        <v>0</v>
      </c>
      <c r="Q422" s="65">
        <f>Q423</f>
        <v>0</v>
      </c>
      <c r="R422" s="67">
        <f t="shared" si="191"/>
        <v>0</v>
      </c>
      <c r="S422" s="53">
        <f>S423</f>
        <v>3527.3</v>
      </c>
      <c r="T422" s="65">
        <f>T423</f>
        <v>0</v>
      </c>
      <c r="U422" s="65">
        <f>U423</f>
        <v>0</v>
      </c>
      <c r="V422" s="57">
        <f aca="true" t="shared" si="192" ref="V422:V429">SUM(S422:U422)</f>
        <v>3527.3</v>
      </c>
    </row>
    <row r="423" spans="2:22" s="36" customFormat="1" ht="26.25">
      <c r="B423" s="43" t="s">
        <v>249</v>
      </c>
      <c r="C423" s="39">
        <v>612</v>
      </c>
      <c r="D423" s="129" t="s">
        <v>109</v>
      </c>
      <c r="E423" s="130"/>
      <c r="F423" s="53">
        <f t="shared" si="188"/>
        <v>3527.3</v>
      </c>
      <c r="G423" s="65">
        <v>0</v>
      </c>
      <c r="H423" s="65">
        <v>0</v>
      </c>
      <c r="I423" s="65">
        <v>0</v>
      </c>
      <c r="J423" s="67">
        <f t="shared" si="189"/>
        <v>0</v>
      </c>
      <c r="K423" s="65">
        <v>0</v>
      </c>
      <c r="L423" s="65">
        <v>0</v>
      </c>
      <c r="M423" s="65">
        <v>0</v>
      </c>
      <c r="N423" s="67">
        <f t="shared" si="190"/>
        <v>0</v>
      </c>
      <c r="O423" s="65">
        <v>0</v>
      </c>
      <c r="P423" s="65">
        <v>0</v>
      </c>
      <c r="Q423" s="65">
        <v>0</v>
      </c>
      <c r="R423" s="67">
        <f t="shared" si="191"/>
        <v>0</v>
      </c>
      <c r="S423" s="53">
        <v>3527.3</v>
      </c>
      <c r="T423" s="65">
        <v>0</v>
      </c>
      <c r="U423" s="65">
        <v>0</v>
      </c>
      <c r="V423" s="57">
        <f t="shared" si="192"/>
        <v>3527.3</v>
      </c>
    </row>
    <row r="424" spans="2:22" s="36" customFormat="1" ht="61.5">
      <c r="B424" s="41" t="s">
        <v>308</v>
      </c>
      <c r="C424" s="39">
        <v>600</v>
      </c>
      <c r="D424" s="131"/>
      <c r="E424" s="132"/>
      <c r="F424" s="53">
        <f t="shared" si="188"/>
        <v>3472.7</v>
      </c>
      <c r="G424" s="65">
        <f>G425</f>
        <v>0</v>
      </c>
      <c r="H424" s="65">
        <f>H425</f>
        <v>0</v>
      </c>
      <c r="I424" s="65">
        <f>I425</f>
        <v>0</v>
      </c>
      <c r="J424" s="67">
        <f t="shared" si="189"/>
        <v>0</v>
      </c>
      <c r="K424" s="53">
        <f>K425</f>
        <v>3472.7</v>
      </c>
      <c r="L424" s="53">
        <f>L425</f>
        <v>0</v>
      </c>
      <c r="M424" s="53">
        <f>M425</f>
        <v>0</v>
      </c>
      <c r="N424" s="57">
        <f t="shared" si="190"/>
        <v>3472.7</v>
      </c>
      <c r="O424" s="65">
        <f>O425</f>
        <v>0</v>
      </c>
      <c r="P424" s="65">
        <f>P425</f>
        <v>0</v>
      </c>
      <c r="Q424" s="65">
        <f>Q425</f>
        <v>0</v>
      </c>
      <c r="R424" s="67">
        <f t="shared" si="191"/>
        <v>0</v>
      </c>
      <c r="S424" s="65">
        <f>S425</f>
        <v>0</v>
      </c>
      <c r="T424" s="65">
        <f>T425</f>
        <v>0</v>
      </c>
      <c r="U424" s="65">
        <f>U425</f>
        <v>0</v>
      </c>
      <c r="V424" s="57">
        <f t="shared" si="192"/>
        <v>0</v>
      </c>
    </row>
    <row r="425" spans="2:22" s="36" customFormat="1" ht="26.25">
      <c r="B425" s="43" t="s">
        <v>249</v>
      </c>
      <c r="C425" s="39">
        <v>612</v>
      </c>
      <c r="D425" s="129" t="s">
        <v>109</v>
      </c>
      <c r="E425" s="130"/>
      <c r="F425" s="53">
        <f t="shared" si="188"/>
        <v>3472.7</v>
      </c>
      <c r="G425" s="65">
        <v>0</v>
      </c>
      <c r="H425" s="65">
        <v>0</v>
      </c>
      <c r="I425" s="65">
        <v>0</v>
      </c>
      <c r="J425" s="67">
        <f t="shared" si="189"/>
        <v>0</v>
      </c>
      <c r="K425" s="53">
        <f>3472.7</f>
        <v>3472.7</v>
      </c>
      <c r="L425" s="53">
        <v>0</v>
      </c>
      <c r="M425" s="53"/>
      <c r="N425" s="57">
        <f t="shared" si="190"/>
        <v>3472.7</v>
      </c>
      <c r="O425" s="65">
        <v>0</v>
      </c>
      <c r="P425" s="65">
        <v>0</v>
      </c>
      <c r="Q425" s="65">
        <v>0</v>
      </c>
      <c r="R425" s="67">
        <f t="shared" si="191"/>
        <v>0</v>
      </c>
      <c r="S425" s="65">
        <v>0</v>
      </c>
      <c r="T425" s="65">
        <v>0</v>
      </c>
      <c r="U425" s="65">
        <v>0</v>
      </c>
      <c r="V425" s="57">
        <f t="shared" si="192"/>
        <v>0</v>
      </c>
    </row>
    <row r="426" spans="2:22" s="36" customFormat="1" ht="23.25" customHeight="1" hidden="1">
      <c r="B426" s="45" t="s">
        <v>240</v>
      </c>
      <c r="C426" s="108"/>
      <c r="D426" s="133"/>
      <c r="E426" s="134"/>
      <c r="F426" s="87">
        <f>N426+R426+V426</f>
        <v>0</v>
      </c>
      <c r="G426" s="87">
        <f aca="true" t="shared" si="193" ref="G426:I427">G427</f>
        <v>0</v>
      </c>
      <c r="H426" s="87">
        <f t="shared" si="193"/>
        <v>0</v>
      </c>
      <c r="I426" s="87">
        <f t="shared" si="193"/>
        <v>0</v>
      </c>
      <c r="J426" s="87">
        <f>G426+H426+I426</f>
        <v>0</v>
      </c>
      <c r="K426" s="87">
        <f aca="true" t="shared" si="194" ref="K426:M427">K427</f>
        <v>0</v>
      </c>
      <c r="L426" s="87">
        <f t="shared" si="194"/>
        <v>0</v>
      </c>
      <c r="M426" s="87">
        <f t="shared" si="194"/>
        <v>0</v>
      </c>
      <c r="N426" s="87">
        <f>K426+L426+M426</f>
        <v>0</v>
      </c>
      <c r="O426" s="87">
        <f aca="true" t="shared" si="195" ref="O426:Q427">O427</f>
        <v>0</v>
      </c>
      <c r="P426" s="87">
        <f t="shared" si="195"/>
        <v>0</v>
      </c>
      <c r="Q426" s="87">
        <f t="shared" si="195"/>
        <v>0</v>
      </c>
      <c r="R426" s="87">
        <f>O426+P426+Q426</f>
        <v>0</v>
      </c>
      <c r="S426" s="87">
        <f aca="true" t="shared" si="196" ref="S426:U427">S427</f>
        <v>0</v>
      </c>
      <c r="T426" s="87">
        <f t="shared" si="196"/>
        <v>0</v>
      </c>
      <c r="U426" s="87">
        <f t="shared" si="196"/>
        <v>0</v>
      </c>
      <c r="V426" s="87">
        <f t="shared" si="192"/>
        <v>0</v>
      </c>
    </row>
    <row r="427" spans="2:22" s="36" customFormat="1" ht="21" customHeight="1" hidden="1">
      <c r="B427" s="40" t="s">
        <v>241</v>
      </c>
      <c r="C427" s="39">
        <v>800</v>
      </c>
      <c r="D427" s="131"/>
      <c r="E427" s="132"/>
      <c r="F427" s="51">
        <f>J427+N427+R427+V427</f>
        <v>0</v>
      </c>
      <c r="G427" s="51">
        <f t="shared" si="193"/>
        <v>0</v>
      </c>
      <c r="H427" s="51">
        <f t="shared" si="193"/>
        <v>0</v>
      </c>
      <c r="I427" s="51">
        <f t="shared" si="193"/>
        <v>0</v>
      </c>
      <c r="J427" s="51">
        <f>SUM(G427:I427)</f>
        <v>0</v>
      </c>
      <c r="K427" s="51">
        <f t="shared" si="194"/>
        <v>0</v>
      </c>
      <c r="L427" s="51">
        <f t="shared" si="194"/>
        <v>0</v>
      </c>
      <c r="M427" s="51">
        <f t="shared" si="194"/>
        <v>0</v>
      </c>
      <c r="N427" s="51">
        <f>SUM(K427:M427)</f>
        <v>0</v>
      </c>
      <c r="O427" s="51">
        <f t="shared" si="195"/>
        <v>0</v>
      </c>
      <c r="P427" s="51">
        <f t="shared" si="195"/>
        <v>0</v>
      </c>
      <c r="Q427" s="51">
        <f t="shared" si="195"/>
        <v>0</v>
      </c>
      <c r="R427" s="51">
        <f>SUM(O427:Q427)</f>
        <v>0</v>
      </c>
      <c r="S427" s="51">
        <f t="shared" si="196"/>
        <v>0</v>
      </c>
      <c r="T427" s="51">
        <f t="shared" si="196"/>
        <v>0</v>
      </c>
      <c r="U427" s="51">
        <f t="shared" si="196"/>
        <v>0</v>
      </c>
      <c r="V427" s="51">
        <f t="shared" si="192"/>
        <v>0</v>
      </c>
    </row>
    <row r="428" spans="2:22" s="36" customFormat="1" ht="13.5" customHeight="1" hidden="1">
      <c r="B428" s="39" t="s">
        <v>133</v>
      </c>
      <c r="C428" s="39">
        <v>880</v>
      </c>
      <c r="D428" s="131" t="s">
        <v>107</v>
      </c>
      <c r="E428" s="132"/>
      <c r="F428" s="52">
        <f>J428+N428+R428+V428</f>
        <v>0</v>
      </c>
      <c r="G428" s="52"/>
      <c r="H428" s="52"/>
      <c r="I428" s="52"/>
      <c r="J428" s="51">
        <f>SUM(G428:I428)</f>
        <v>0</v>
      </c>
      <c r="K428" s="52"/>
      <c r="L428" s="52"/>
      <c r="M428" s="52"/>
      <c r="N428" s="51">
        <f>SUM(K428:M428)</f>
        <v>0</v>
      </c>
      <c r="O428" s="52"/>
      <c r="P428" s="52"/>
      <c r="Q428" s="52"/>
      <c r="R428" s="51">
        <f>SUM(O428:Q428)</f>
        <v>0</v>
      </c>
      <c r="S428" s="52"/>
      <c r="T428" s="52"/>
      <c r="U428" s="52"/>
      <c r="V428" s="51">
        <f t="shared" si="192"/>
        <v>0</v>
      </c>
    </row>
    <row r="429" spans="2:25" s="36" customFormat="1" ht="24" customHeight="1">
      <c r="B429" s="46" t="s">
        <v>131</v>
      </c>
      <c r="C429" s="46"/>
      <c r="D429" s="135"/>
      <c r="E429" s="136"/>
      <c r="F429" s="50">
        <f>J429+N429+R429+V429</f>
        <v>75190.7</v>
      </c>
      <c r="G429" s="50">
        <f>G17+G32+G37+G44+G46+G49+G95+G104+G112+G183+G198+G226+G276+G285+G292+G372+G376+G380+G385+G358+G54+G85+G89+G374+G282+G426+G91+G93+G360+G362+G367</f>
        <v>9637.199999999999</v>
      </c>
      <c r="H429" s="50">
        <f>H17+H32+H37+H44+H46+H49+H95+H104+H112+H183+H198+H226+H276+H285+H292+H372+H376+H380+H385+H358+H54+H85+H89+H374+H282+H426+H91+H93+H360+H362+H367</f>
        <v>3876.6000000000004</v>
      </c>
      <c r="I429" s="50">
        <f>I17+I32+I37+I44+I46+I49+I95+I104+I112+I183+I198+I226+I276+I285+I292+I372+I376+I380+I385+I358+I54+I85+I89+I374+I282+I426+I91+I93+I360+I362+I367</f>
        <v>5074.9</v>
      </c>
      <c r="J429" s="50">
        <f>SUM(G429:I429)</f>
        <v>18588.699999999997</v>
      </c>
      <c r="K429" s="50">
        <f>K17+K32+K37+K44+K46+K49+K95+K104+K112+K183+K198+K226+K276+K285+K292+K372+K376+K380+K385+K358+K54+K85+K89+K374+K282+K426+K91+K93+K360+K362+K367</f>
        <v>5903.8</v>
      </c>
      <c r="L429" s="50">
        <f>L17+L32+L37+L44+L46+L49+L95+L104+L112+L183+L198+L226+L276+L285+L292+L372+L376+L380+L385+L358+L54+L85+L89+L374+L282+L426+L91+L93+L360+L362+L367</f>
        <v>4547.200000000001</v>
      </c>
      <c r="M429" s="50">
        <f>M17+M32+M37+M44+M46+M49+M95+M104+M112+M183+M198+M226+M276+M285+M292+M372+M376+M380+M385+M358+M54+M85+M89+M374+M282+M426+M91+M93+M360+M362+M367</f>
        <v>6590.799999999999</v>
      </c>
      <c r="N429" s="50">
        <f>SUM(K429:M429)</f>
        <v>17041.8</v>
      </c>
      <c r="O429" s="50">
        <f>O17+O32+O37+O44+O46+O49+O95+O104+O112+O183+O198+O226+O276+O285+O292+O372+O376+O380+O385+O358+O54+O85+O89+O374+O282+O426+O91+O93+O360+O362+O367</f>
        <v>6173.2</v>
      </c>
      <c r="P429" s="50">
        <f>P17+P32+P37+P44+P46+P49+P95+P104+P112+P183+P198+P226+P276+P285+P292+P372+P376+P380+P385+P358+P54+P85+P89+P374+P282+P426+P91+P93+P360+P362+P367</f>
        <v>5098.7</v>
      </c>
      <c r="Q429" s="50">
        <f>Q17+Q32+Q37+Q44+Q46+Q49+Q95+Q104+Q112+Q183+Q198+Q226+Q276+Q285+Q292+Q372+Q376+Q380+Q385+Q358+Q54+Q85+Q89+Q374+Q282+Q426+Q91+Q93+Q360+Q362+Q367</f>
        <v>6417.3</v>
      </c>
      <c r="R429" s="50">
        <f>SUM(O429:Q429)</f>
        <v>17689.2</v>
      </c>
      <c r="S429" s="50">
        <f>S17+S32+S37+S44+S46+S49+S95+S104+S112+S183+S198+S226+S276+S285+S292+S372+S376+S380+S385+S358+S54+S85+S89+S374+S282+S426+S91+S93+S360+S362+S367</f>
        <v>9163.8</v>
      </c>
      <c r="T429" s="50">
        <f>T17+T32+T37+T44+T46+T49+T95+T104+T112+T183+T198+T226+T276+T285+T292+T372+T376+T380+T385+T358+T54+T85+T89+T374+T282+T426+T91+T93+T360+T362+T367</f>
        <v>6635.7</v>
      </c>
      <c r="U429" s="50">
        <f>U17+U32+U37+U44+U46+U49+U95+U104+U112+U183+U198+U226+U276+U285+U292+U372+U376+U380+U385+U358+U54+U85+U89+U374+U282+U426+U91+U93+U360+U362+U367</f>
        <v>6071.5</v>
      </c>
      <c r="V429" s="50">
        <f t="shared" si="192"/>
        <v>21871</v>
      </c>
      <c r="Y429" s="91"/>
    </row>
    <row r="430" spans="2:22" s="36" customFormat="1" ht="21">
      <c r="B430" s="39" t="s">
        <v>57</v>
      </c>
      <c r="C430" s="39"/>
      <c r="D430" s="131" t="s">
        <v>31</v>
      </c>
      <c r="E430" s="132"/>
      <c r="F430" s="120"/>
      <c r="G430" s="47"/>
      <c r="H430" s="47"/>
      <c r="I430" s="47"/>
      <c r="J430" s="119"/>
      <c r="K430" s="47"/>
      <c r="L430" s="47"/>
      <c r="M430" s="47"/>
      <c r="N430" s="88"/>
      <c r="O430" s="47"/>
      <c r="P430" s="47"/>
      <c r="Q430" s="47"/>
      <c r="R430" s="88"/>
      <c r="S430" s="47"/>
      <c r="T430" s="47"/>
      <c r="U430" s="47"/>
      <c r="V430" s="88"/>
    </row>
    <row r="431" spans="2:22" s="36" customFormat="1" ht="20.25" customHeight="1">
      <c r="B431" s="39" t="s">
        <v>22</v>
      </c>
      <c r="C431" s="39"/>
      <c r="D431" s="131" t="s">
        <v>32</v>
      </c>
      <c r="E431" s="132"/>
      <c r="F431" s="51"/>
      <c r="G431" s="47"/>
      <c r="H431" s="47"/>
      <c r="I431" s="47"/>
      <c r="J431" s="88"/>
      <c r="K431" s="89"/>
      <c r="L431" s="47"/>
      <c r="M431" s="47"/>
      <c r="N431" s="88"/>
      <c r="O431" s="47"/>
      <c r="P431" s="47"/>
      <c r="Q431" s="47"/>
      <c r="R431" s="88"/>
      <c r="S431" s="47"/>
      <c r="T431" s="47"/>
      <c r="U431" s="47"/>
      <c r="V431" s="88"/>
    </row>
    <row r="432" spans="2:22" s="36" customFormat="1" ht="12.75">
      <c r="B432" s="39" t="s">
        <v>23</v>
      </c>
      <c r="C432" s="39"/>
      <c r="D432" s="131" t="s">
        <v>33</v>
      </c>
      <c r="E432" s="132"/>
      <c r="F432" s="48"/>
      <c r="G432" s="47"/>
      <c r="H432" s="47"/>
      <c r="I432" s="47"/>
      <c r="J432" s="88"/>
      <c r="K432" s="47"/>
      <c r="L432" s="47"/>
      <c r="M432" s="47"/>
      <c r="N432" s="88"/>
      <c r="O432" s="47"/>
      <c r="P432" s="47"/>
      <c r="Q432" s="74"/>
      <c r="R432" s="90"/>
      <c r="S432" s="47"/>
      <c r="T432" s="47"/>
      <c r="U432" s="47"/>
      <c r="V432" s="90"/>
    </row>
    <row r="433" spans="2:22" s="36" customFormat="1" ht="12.75">
      <c r="B433" s="39" t="s">
        <v>24</v>
      </c>
      <c r="C433" s="39"/>
      <c r="D433" s="131" t="s">
        <v>34</v>
      </c>
      <c r="E433" s="132"/>
      <c r="F433" s="48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</row>
    <row r="434" spans="2:22" s="36" customFormat="1" ht="33" customHeight="1">
      <c r="B434" s="39" t="s">
        <v>25</v>
      </c>
      <c r="C434" s="39"/>
      <c r="D434" s="131" t="s">
        <v>35</v>
      </c>
      <c r="E434" s="132"/>
      <c r="F434" s="48"/>
      <c r="G434" s="47"/>
      <c r="H434" s="47"/>
      <c r="I434" s="47"/>
      <c r="J434" s="48"/>
      <c r="K434" s="89"/>
      <c r="L434" s="47"/>
      <c r="M434" s="47"/>
      <c r="N434" s="48"/>
      <c r="O434" s="47"/>
      <c r="P434" s="47"/>
      <c r="Q434" s="47"/>
      <c r="R434" s="48"/>
      <c r="S434" s="47"/>
      <c r="T434" s="47"/>
      <c r="U434" s="47"/>
      <c r="V434" s="48"/>
    </row>
    <row r="435" s="36" customFormat="1" ht="12.75"/>
    <row r="436" s="36" customFormat="1" ht="9" customHeight="1"/>
    <row r="437" spans="2:25" s="36" customFormat="1" ht="12.75">
      <c r="B437" s="36" t="s">
        <v>164</v>
      </c>
      <c r="T437" s="91"/>
      <c r="U437" s="91"/>
      <c r="Y437" s="91"/>
    </row>
    <row r="438" s="36" customFormat="1" ht="12.75"/>
  </sheetData>
  <sheetProtection/>
  <mergeCells count="78">
    <mergeCell ref="D371:E371"/>
    <mergeCell ref="D310:E310"/>
    <mergeCell ref="D408:E408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61:E361"/>
    <mergeCell ref="D362:E362"/>
    <mergeCell ref="D348:E348"/>
    <mergeCell ref="D349:E349"/>
    <mergeCell ref="D328:E328"/>
    <mergeCell ref="D329:E329"/>
    <mergeCell ref="D354:E354"/>
    <mergeCell ref="D331:E331"/>
    <mergeCell ref="D350:E350"/>
    <mergeCell ref="D358:E358"/>
    <mergeCell ref="D359:E359"/>
    <mergeCell ref="D360:E360"/>
    <mergeCell ref="B8:B9"/>
    <mergeCell ref="D8:D9"/>
    <mergeCell ref="E8:E9"/>
    <mergeCell ref="D351:E351"/>
    <mergeCell ref="D352:E352"/>
    <mergeCell ref="D353:E353"/>
    <mergeCell ref="F8:F9"/>
    <mergeCell ref="O8:Q8"/>
    <mergeCell ref="R8:R9"/>
    <mergeCell ref="C8:C9"/>
    <mergeCell ref="S8:U8"/>
    <mergeCell ref="V8:V9"/>
    <mergeCell ref="G8:I8"/>
    <mergeCell ref="J8:J9"/>
    <mergeCell ref="K8:M8"/>
    <mergeCell ref="N8:N9"/>
    <mergeCell ref="D372:E372"/>
    <mergeCell ref="D373:E373"/>
    <mergeCell ref="D374:E374"/>
    <mergeCell ref="D375:E375"/>
    <mergeCell ref="D376:E376"/>
    <mergeCell ref="D377:E377"/>
    <mergeCell ref="D410:E410"/>
    <mergeCell ref="D378:E378"/>
    <mergeCell ref="D379:E379"/>
    <mergeCell ref="D380:E380"/>
    <mergeCell ref="D381:E381"/>
    <mergeCell ref="D382:E382"/>
    <mergeCell ref="D383:E383"/>
    <mergeCell ref="D420:E420"/>
    <mergeCell ref="D421:E421"/>
    <mergeCell ref="D424:E424"/>
    <mergeCell ref="D384:E384"/>
    <mergeCell ref="D385:E385"/>
    <mergeCell ref="D386:E386"/>
    <mergeCell ref="D403:E403"/>
    <mergeCell ref="D405:E405"/>
    <mergeCell ref="D413:E413"/>
    <mergeCell ref="D409:E409"/>
    <mergeCell ref="D414:E414"/>
    <mergeCell ref="D415:E415"/>
    <mergeCell ref="D416:E416"/>
    <mergeCell ref="D417:E417"/>
    <mergeCell ref="D418:E418"/>
    <mergeCell ref="D419:E419"/>
    <mergeCell ref="D422:E422"/>
    <mergeCell ref="D426:E426"/>
    <mergeCell ref="D433:E433"/>
    <mergeCell ref="D434:E434"/>
    <mergeCell ref="D427:E427"/>
    <mergeCell ref="D428:E428"/>
    <mergeCell ref="D429:E429"/>
    <mergeCell ref="D430:E430"/>
    <mergeCell ref="D431:E431"/>
    <mergeCell ref="D432:E432"/>
  </mergeCells>
  <printOptions horizontalCentered="1"/>
  <pageMargins left="0" right="0.1968503937007874" top="0.4724409448818898" bottom="0.2755905511811024" header="0.5118110236220472" footer="0.1968503937007874"/>
  <pageSetup fitToHeight="0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I9" sqref="I9"/>
    </sheetView>
  </sheetViews>
  <sheetFormatPr defaultColWidth="9.125" defaultRowHeight="12.75"/>
  <cols>
    <col min="1" max="1" width="15.50390625" style="1" customWidth="1"/>
    <col min="2" max="2" width="7.00390625" style="1" bestFit="1" customWidth="1"/>
    <col min="3" max="3" width="8.375" style="1" bestFit="1" customWidth="1"/>
    <col min="4" max="4" width="5.00390625" style="1" bestFit="1" customWidth="1"/>
    <col min="5" max="5" width="7.00390625" style="1" bestFit="1" customWidth="1"/>
    <col min="6" max="6" width="4.375" style="1" bestFit="1" customWidth="1"/>
    <col min="7" max="8" width="5.50390625" style="1" bestFit="1" customWidth="1"/>
    <col min="9" max="9" width="6.50390625" style="1" bestFit="1" customWidth="1"/>
    <col min="10" max="10" width="8.625" style="1" bestFit="1" customWidth="1"/>
    <col min="11" max="11" width="7.50390625" style="1" bestFit="1" customWidth="1"/>
    <col min="12" max="12" width="6.50390625" style="1" customWidth="1"/>
    <col min="13" max="13" width="7.875" style="1" customWidth="1"/>
    <col min="14" max="16384" width="9.125" style="1" customWidth="1"/>
  </cols>
  <sheetData>
    <row r="1" ht="12.75">
      <c r="I1" s="18" t="s">
        <v>54</v>
      </c>
    </row>
    <row r="2" ht="12.75">
      <c r="I2" s="18" t="s">
        <v>0</v>
      </c>
    </row>
    <row r="3" ht="12.75">
      <c r="I3" s="18" t="s">
        <v>1</v>
      </c>
    </row>
    <row r="4" ht="12.75">
      <c r="I4" s="18" t="s">
        <v>2</v>
      </c>
    </row>
    <row r="5" ht="12.75">
      <c r="I5" s="18" t="s">
        <v>3</v>
      </c>
    </row>
    <row r="6" ht="12.75">
      <c r="I6" s="18" t="s">
        <v>73</v>
      </c>
    </row>
    <row r="7" ht="12.75">
      <c r="I7" s="18" t="s">
        <v>74</v>
      </c>
    </row>
    <row r="8" ht="12.75">
      <c r="I8" s="18" t="s">
        <v>88</v>
      </c>
    </row>
    <row r="10" spans="1:13" ht="17.25">
      <c r="A10" s="166" t="s">
        <v>53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</row>
    <row r="11" spans="1:13" ht="18.75">
      <c r="A11" s="166" t="s">
        <v>64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3" ht="17.25">
      <c r="A12" s="166" t="s">
        <v>76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3" ht="17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ht="13.5" thickBot="1">
      <c r="M14" s="8" t="s">
        <v>39</v>
      </c>
    </row>
    <row r="15" spans="1:13" ht="12.75">
      <c r="A15" s="1" t="s">
        <v>68</v>
      </c>
      <c r="L15" s="2" t="s">
        <v>51</v>
      </c>
      <c r="M15" s="10"/>
    </row>
    <row r="16" spans="1:13" ht="15">
      <c r="A16" s="1" t="s">
        <v>65</v>
      </c>
      <c r="L16" s="2" t="s">
        <v>37</v>
      </c>
      <c r="M16" s="11"/>
    </row>
    <row r="17" spans="1:13" ht="13.5" thickBot="1">
      <c r="A17" s="1" t="s">
        <v>48</v>
      </c>
      <c r="M17" s="12"/>
    </row>
    <row r="19" spans="1:65" ht="15">
      <c r="A19" s="169" t="s">
        <v>66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ht="6" customHeight="1" thickBot="1"/>
    <row r="21" spans="1:13" ht="12.75" customHeight="1">
      <c r="A21" s="173" t="s">
        <v>67</v>
      </c>
      <c r="B21" s="167" t="s">
        <v>52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8"/>
    </row>
    <row r="22" spans="1:13" s="3" customFormat="1" ht="12.75">
      <c r="A22" s="174"/>
      <c r="B22" s="21">
        <v>1</v>
      </c>
      <c r="C22" s="21">
        <v>2</v>
      </c>
      <c r="D22" s="21">
        <v>3</v>
      </c>
      <c r="E22" s="21">
        <v>4</v>
      </c>
      <c r="F22" s="21">
        <v>5</v>
      </c>
      <c r="G22" s="21">
        <v>6</v>
      </c>
      <c r="H22" s="21">
        <v>7</v>
      </c>
      <c r="I22" s="21">
        <v>8</v>
      </c>
      <c r="J22" s="21">
        <v>9</v>
      </c>
      <c r="K22" s="21">
        <v>10</v>
      </c>
      <c r="L22" s="21">
        <v>11</v>
      </c>
      <c r="M22" s="22">
        <v>12</v>
      </c>
    </row>
    <row r="23" spans="1:13" s="3" customFormat="1" ht="13.5" thickBot="1">
      <c r="A23" s="175"/>
      <c r="B23" s="8" t="s">
        <v>6</v>
      </c>
      <c r="C23" s="8" t="s">
        <v>7</v>
      </c>
      <c r="D23" s="8" t="s">
        <v>8</v>
      </c>
      <c r="E23" s="8" t="s">
        <v>10</v>
      </c>
      <c r="F23" s="8" t="s">
        <v>11</v>
      </c>
      <c r="G23" s="8" t="s">
        <v>12</v>
      </c>
      <c r="H23" s="8" t="s">
        <v>13</v>
      </c>
      <c r="I23" s="8" t="s">
        <v>14</v>
      </c>
      <c r="J23" s="8" t="s">
        <v>15</v>
      </c>
      <c r="K23" s="8" t="s">
        <v>16</v>
      </c>
      <c r="L23" s="8" t="s">
        <v>17</v>
      </c>
      <c r="M23" s="9" t="s">
        <v>18</v>
      </c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7" spans="1:13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66" ht="12.75">
      <c r="A28" s="162" t="s">
        <v>81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ht="6" customHeight="1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</row>
    <row r="30" spans="1:13" ht="12.75">
      <c r="A30" s="170" t="s">
        <v>83</v>
      </c>
      <c r="B30" s="159" t="s">
        <v>52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1"/>
    </row>
    <row r="31" spans="1:13" s="3" customFormat="1" ht="12.75">
      <c r="A31" s="171"/>
      <c r="B31" s="33">
        <v>1</v>
      </c>
      <c r="C31" s="33">
        <v>2</v>
      </c>
      <c r="D31" s="33">
        <v>3</v>
      </c>
      <c r="E31" s="33">
        <v>4</v>
      </c>
      <c r="F31" s="33">
        <v>5</v>
      </c>
      <c r="G31" s="33">
        <v>6</v>
      </c>
      <c r="H31" s="33">
        <v>7</v>
      </c>
      <c r="I31" s="33">
        <v>8</v>
      </c>
      <c r="J31" s="33">
        <v>9</v>
      </c>
      <c r="K31" s="33">
        <v>10</v>
      </c>
      <c r="L31" s="33">
        <v>11</v>
      </c>
      <c r="M31" s="34">
        <v>12</v>
      </c>
    </row>
    <row r="32" spans="1:13" s="3" customFormat="1" ht="13.5" thickBot="1">
      <c r="A32" s="172"/>
      <c r="B32" s="8" t="s">
        <v>6</v>
      </c>
      <c r="C32" s="8" t="s">
        <v>7</v>
      </c>
      <c r="D32" s="8" t="s">
        <v>8</v>
      </c>
      <c r="E32" s="8" t="s">
        <v>10</v>
      </c>
      <c r="F32" s="8" t="s">
        <v>11</v>
      </c>
      <c r="G32" s="8" t="s">
        <v>12</v>
      </c>
      <c r="H32" s="8" t="s">
        <v>13</v>
      </c>
      <c r="I32" s="8" t="s">
        <v>14</v>
      </c>
      <c r="J32" s="8" t="s">
        <v>15</v>
      </c>
      <c r="K32" s="8" t="s">
        <v>16</v>
      </c>
      <c r="L32" s="8" t="s">
        <v>17</v>
      </c>
      <c r="M32" s="9" t="s">
        <v>18</v>
      </c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6" spans="1:13" ht="39.75" customHeight="1">
      <c r="A36" s="164" t="s">
        <v>77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</row>
    <row r="37" spans="1:13" ht="40.5" customHeight="1">
      <c r="A37" s="163" t="s">
        <v>78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</row>
    <row r="38" ht="15">
      <c r="A38" s="35" t="s">
        <v>72</v>
      </c>
    </row>
    <row r="39" spans="1:13" ht="27" customHeight="1">
      <c r="A39" s="163" t="s">
        <v>80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</row>
    <row r="40" spans="1:13" ht="15" customHeight="1">
      <c r="A40" s="163" t="s">
        <v>82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</row>
    <row r="42" spans="1:11" ht="24.75" customHeight="1">
      <c r="A42" s="158" t="s">
        <v>58</v>
      </c>
      <c r="B42" s="158"/>
      <c r="D42" s="15"/>
      <c r="E42" s="15"/>
      <c r="F42" s="16"/>
      <c r="G42" s="15"/>
      <c r="H42" s="15"/>
      <c r="I42" s="16"/>
      <c r="J42" s="15"/>
      <c r="K42" s="15"/>
    </row>
    <row r="43" spans="4:10" s="17" customFormat="1" ht="15">
      <c r="D43" s="17" t="s">
        <v>61</v>
      </c>
      <c r="G43" s="17" t="s">
        <v>62</v>
      </c>
      <c r="J43" s="17" t="s">
        <v>63</v>
      </c>
    </row>
    <row r="44" spans="1:11" ht="12.75">
      <c r="A44" s="1" t="s">
        <v>49</v>
      </c>
      <c r="D44" s="15"/>
      <c r="E44" s="15"/>
      <c r="G44" s="15"/>
      <c r="H44" s="15"/>
      <c r="I44" s="16"/>
      <c r="J44" s="15"/>
      <c r="K44" s="15"/>
    </row>
    <row r="45" spans="4:10" s="17" customFormat="1" ht="15">
      <c r="D45" s="17" t="s">
        <v>61</v>
      </c>
      <c r="G45" s="17" t="s">
        <v>62</v>
      </c>
      <c r="J45" s="17" t="s">
        <v>63</v>
      </c>
    </row>
    <row r="46" spans="1:3" ht="12.75">
      <c r="A46" s="1" t="s">
        <v>50</v>
      </c>
      <c r="C46" s="1" t="s">
        <v>60</v>
      </c>
    </row>
  </sheetData>
  <sheetProtection/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C9" sqref="C9"/>
    </sheetView>
  </sheetViews>
  <sheetFormatPr defaultColWidth="9.125" defaultRowHeight="12.75"/>
  <cols>
    <col min="1" max="1" width="35.375" style="1" customWidth="1"/>
    <col min="2" max="2" width="20.875" style="1" customWidth="1"/>
    <col min="3" max="3" width="6.50390625" style="1" customWidth="1"/>
    <col min="4" max="4" width="11.00390625" style="1" customWidth="1"/>
    <col min="5" max="5" width="18.50390625" style="1" customWidth="1"/>
    <col min="6" max="16384" width="9.125" style="1" customWidth="1"/>
  </cols>
  <sheetData>
    <row r="1" ht="12.75">
      <c r="C1" s="18" t="s">
        <v>59</v>
      </c>
    </row>
    <row r="2" ht="12.75">
      <c r="C2" s="18" t="s">
        <v>0</v>
      </c>
    </row>
    <row r="3" ht="12.75">
      <c r="C3" s="18" t="s">
        <v>1</v>
      </c>
    </row>
    <row r="4" ht="12.75">
      <c r="C4" s="18" t="s">
        <v>2</v>
      </c>
    </row>
    <row r="5" ht="12.75">
      <c r="C5" s="18" t="s">
        <v>3</v>
      </c>
    </row>
    <row r="6" ht="12.75">
      <c r="C6" s="18" t="s">
        <v>73</v>
      </c>
    </row>
    <row r="7" ht="12.75">
      <c r="C7" s="18" t="s">
        <v>74</v>
      </c>
    </row>
    <row r="8" ht="12.75">
      <c r="C8" s="18" t="s">
        <v>88</v>
      </c>
    </row>
    <row r="10" spans="1:5" s="26" customFormat="1" ht="60.75" customHeight="1">
      <c r="A10" s="178" t="s">
        <v>84</v>
      </c>
      <c r="B10" s="178"/>
      <c r="C10" s="179"/>
      <c r="D10" s="179"/>
      <c r="E10" s="179"/>
    </row>
    <row r="11" spans="1:5" ht="18">
      <c r="A11" s="179" t="s">
        <v>70</v>
      </c>
      <c r="B11" s="179"/>
      <c r="C11" s="179"/>
      <c r="D11" s="179"/>
      <c r="E11" s="179"/>
    </row>
    <row r="12" spans="1:2" ht="6.75" customHeight="1">
      <c r="A12" s="24"/>
      <c r="B12" s="24"/>
    </row>
    <row r="13" spans="1:5" ht="15">
      <c r="A13" s="179" t="s">
        <v>79</v>
      </c>
      <c r="B13" s="179"/>
      <c r="C13" s="179"/>
      <c r="D13" s="179"/>
      <c r="E13" s="179"/>
    </row>
    <row r="18" ht="12.75">
      <c r="A18" s="1" t="s">
        <v>68</v>
      </c>
    </row>
    <row r="19" ht="12.75">
      <c r="A19" s="1" t="s">
        <v>85</v>
      </c>
    </row>
    <row r="20" ht="12.75">
      <c r="A20" s="1" t="s">
        <v>48</v>
      </c>
    </row>
    <row r="23" spans="1:5" ht="12.75">
      <c r="A23" s="169"/>
      <c r="B23" s="169"/>
      <c r="C23" s="169"/>
      <c r="D23" s="169"/>
      <c r="E23" s="169"/>
    </row>
    <row r="24" ht="6.75" customHeight="1" thickBot="1"/>
    <row r="25" spans="1:5" ht="23.25" customHeight="1">
      <c r="A25" s="25" t="s">
        <v>87</v>
      </c>
      <c r="B25" s="159" t="s">
        <v>69</v>
      </c>
      <c r="C25" s="180"/>
      <c r="D25" s="159" t="s">
        <v>52</v>
      </c>
      <c r="E25" s="161"/>
    </row>
    <row r="26" spans="1:5" ht="13.5" thickBot="1">
      <c r="A26" s="7">
        <v>1</v>
      </c>
      <c r="B26" s="176">
        <v>2</v>
      </c>
      <c r="C26" s="181"/>
      <c r="D26" s="176">
        <v>3</v>
      </c>
      <c r="E26" s="177"/>
    </row>
    <row r="27" spans="1:5" ht="12.75">
      <c r="A27" s="6"/>
      <c r="B27" s="31"/>
      <c r="C27" s="27"/>
      <c r="D27" s="29"/>
      <c r="E27" s="27"/>
    </row>
    <row r="28" spans="1:5" ht="12.75">
      <c r="A28" s="5"/>
      <c r="B28" s="30"/>
      <c r="C28" s="28"/>
      <c r="D28" s="30"/>
      <c r="E28" s="28"/>
    </row>
    <row r="32" spans="1:14" ht="38.25" customHeight="1">
      <c r="A32" s="164" t="s">
        <v>71</v>
      </c>
      <c r="B32" s="165"/>
      <c r="C32" s="165"/>
      <c r="D32" s="165"/>
      <c r="E32" s="165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63" t="s">
        <v>86</v>
      </c>
      <c r="B33" s="158"/>
      <c r="C33" s="158"/>
      <c r="D33" s="158"/>
      <c r="E33" s="158"/>
      <c r="F33" s="14"/>
      <c r="G33" s="14"/>
      <c r="H33" s="14"/>
      <c r="I33" s="14"/>
      <c r="J33" s="14"/>
      <c r="K33" s="14"/>
      <c r="L33" s="14"/>
      <c r="M33" s="14"/>
      <c r="N33" s="14"/>
    </row>
    <row r="39" spans="1:5" ht="24.75" customHeight="1">
      <c r="A39" s="14" t="s">
        <v>58</v>
      </c>
      <c r="B39" s="15"/>
      <c r="C39" s="16"/>
      <c r="D39" s="15"/>
      <c r="E39" s="15"/>
    </row>
    <row r="40" spans="2:5" s="17" customFormat="1" ht="15">
      <c r="B40" s="17" t="s">
        <v>61</v>
      </c>
      <c r="C40" s="32"/>
      <c r="D40" s="17" t="s">
        <v>62</v>
      </c>
      <c r="E40" s="17" t="s">
        <v>63</v>
      </c>
    </row>
    <row r="41" spans="1:5" ht="12.75">
      <c r="A41" s="1" t="s">
        <v>49</v>
      </c>
      <c r="B41" s="15"/>
      <c r="C41" s="16"/>
      <c r="D41" s="15"/>
      <c r="E41" s="15"/>
    </row>
    <row r="42" spans="2:5" s="17" customFormat="1" ht="15">
      <c r="B42" s="17" t="s">
        <v>61</v>
      </c>
      <c r="C42" s="32"/>
      <c r="D42" s="17" t="s">
        <v>62</v>
      </c>
      <c r="E42" s="17" t="s">
        <v>63</v>
      </c>
    </row>
    <row r="43" s="17" customFormat="1" ht="15">
      <c r="C43" s="32"/>
    </row>
    <row r="44" s="17" customFormat="1" ht="15">
      <c r="C44" s="32"/>
    </row>
    <row r="45" s="17" customFormat="1" ht="15">
      <c r="C45" s="32"/>
    </row>
    <row r="46" spans="1:2" ht="12.75">
      <c r="A46" s="1" t="s">
        <v>50</v>
      </c>
      <c r="B46" s="1" t="s">
        <v>60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User</cp:lastModifiedBy>
  <cp:lastPrinted>2020-02-15T10:31:23Z</cp:lastPrinted>
  <dcterms:created xsi:type="dcterms:W3CDTF">2007-12-12T12:07:30Z</dcterms:created>
  <dcterms:modified xsi:type="dcterms:W3CDTF">2020-03-12T11:31:09Z</dcterms:modified>
  <cp:category/>
  <cp:version/>
  <cp:contentType/>
  <cp:contentStatus/>
</cp:coreProperties>
</file>