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1340" windowHeight="8712" activeTab="0"/>
  </bookViews>
  <sheets>
    <sheet name="1" sheetId="1" r:id="rId1"/>
    <sheet name="2" sheetId="2" r:id="rId2"/>
    <sheet name="3" sheetId="3" r:id="rId3"/>
  </sheets>
  <definedNames>
    <definedName name="_xlnm.Print_Titles" localSheetId="0">'1'!$10:$10</definedName>
    <definedName name="_xlnm.Print_Area" localSheetId="1">'2'!$A$1:$M$46</definedName>
    <definedName name="_xlnm.Print_Area" localSheetId="2">'3'!$A$1:$E$46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это старая глава была в 2017 г</t>
        </r>
      </text>
    </comment>
  </commentList>
</comments>
</file>

<file path=xl/sharedStrings.xml><?xml version="1.0" encoding="utf-8"?>
<sst xmlns="http://schemas.openxmlformats.org/spreadsheetml/2006/main" count="783" uniqueCount="317">
  <si>
    <t xml:space="preserve">к Порядку составления и </t>
  </si>
  <si>
    <t>ведения кассового плана</t>
  </si>
  <si>
    <t>исполнения областного бюджета,</t>
  </si>
  <si>
    <t>утвержденного Приказом</t>
  </si>
  <si>
    <t>Наименование показателя планирования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</si>
  <si>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</si>
  <si>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</si>
  <si>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</si>
  <si>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</si>
  <si>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</si>
  <si>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</si>
  <si>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</si>
  <si>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</si>
  <si>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</si>
  <si>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</si>
  <si>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</si>
  <si>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</si>
  <si>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</si>
  <si>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</si>
  <si>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</si>
  <si>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Доходы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</si>
  <si>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</si>
  <si>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</si>
  <si>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</si>
  <si>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</si>
  <si>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</si>
  <si>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</si>
  <si>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</si>
  <si>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</si>
  <si>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</si>
  <si>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</si>
  <si>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</si>
  <si>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</si>
  <si>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</si>
  <si>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</si>
  <si>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</si>
  <si>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</si>
  <si>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</si>
  <si>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</si>
  <si>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</si>
  <si>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</si>
  <si>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</si>
  <si>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</si>
  <si>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</si>
  <si>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</si>
  <si>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</si>
  <si>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</si>
  <si>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</si>
  <si>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</si>
  <si>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</si>
  <si>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</si>
  <si>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</si>
  <si>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</si>
  <si>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Прогноз поступления средств областного бюджета</t>
  </si>
  <si>
    <t>Приложение 2</t>
  </si>
  <si>
    <t>Поступления средств из федерального бюджета</t>
  </si>
  <si>
    <t>Расходы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</si>
  <si>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</si>
  <si>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</si>
  <si>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</si>
  <si>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</si>
  <si>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</si>
  <si>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</si>
  <si>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</si>
  <si>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</si>
  <si>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</si>
  <si>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Раздел I. Доходы областного бюджета </t>
    </r>
    <r>
      <rPr>
        <b/>
        <vertAlign val="superscript"/>
        <sz val="10"/>
        <rFont val="Arial"/>
        <family val="2"/>
      </rPr>
      <t>3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</si>
  <si>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</si>
  <si>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</si>
  <si>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</si>
  <si>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</si>
  <si>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</si>
  <si>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</si>
  <si>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департамента финансов, бюджетной</t>
  </si>
  <si>
    <t>и налоговой политики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</si>
  <si>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</si>
  <si>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</si>
  <si>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</si>
  <si>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</si>
  <si>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</si>
  <si>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</si>
  <si>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</si>
  <si>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</si>
  <si>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</si>
  <si>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t>Графики выплат
по источникам финансирования дефицита областного бюджета</t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</si>
  <si>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</si>
  <si>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</si>
  <si>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</si>
  <si>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от 17.12.2007 № 91</t>
  </si>
  <si>
    <t>решение о бюджете на год</t>
  </si>
  <si>
    <t xml:space="preserve">Заработная плата </t>
  </si>
  <si>
    <t>211</t>
  </si>
  <si>
    <t>Прочие выплаты</t>
  </si>
  <si>
    <t>212</t>
  </si>
  <si>
    <t>Начисления на оптату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</si>
  <si>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</si>
  <si>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</si>
  <si>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</si>
  <si>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</si>
  <si>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</si>
  <si>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</si>
  <si>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</si>
  <si>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Услуги по содержанию помещения</t>
  </si>
  <si>
    <t>225</t>
  </si>
  <si>
    <t>Прочие услуги</t>
  </si>
  <si>
    <t>226</t>
  </si>
  <si>
    <t>Прочие расходы</t>
  </si>
  <si>
    <t>290</t>
  </si>
  <si>
    <t>Увеличение ст-ти основных средств</t>
  </si>
  <si>
    <t>310</t>
  </si>
  <si>
    <t>Увеличение ст-ти мат- запасов</t>
  </si>
  <si>
    <t>340</t>
  </si>
  <si>
    <t>Оплата труда и начисления на оплату труда</t>
  </si>
  <si>
    <t>210</t>
  </si>
  <si>
    <t>Поступление нефинансовых активов</t>
  </si>
  <si>
    <t>300</t>
  </si>
  <si>
    <t>хозяйственные расходы</t>
  </si>
  <si>
    <t>оплата отопления</t>
  </si>
  <si>
    <t>оплата электроэнергии</t>
  </si>
  <si>
    <t>оплата водоснабжения</t>
  </si>
  <si>
    <t>223 1</t>
  </si>
  <si>
    <t>223 2</t>
  </si>
  <si>
    <t>223 3</t>
  </si>
  <si>
    <t>340 4</t>
  </si>
  <si>
    <t>340 3</t>
  </si>
  <si>
    <t>Администрация</t>
  </si>
  <si>
    <t>Глава муниципального образования</t>
  </si>
  <si>
    <t>Резервный фонд администрации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</si>
  <si>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</si>
  <si>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Межбюджетные трансферты</t>
  </si>
  <si>
    <t>251</t>
  </si>
  <si>
    <t>ИТОГО РАСХОДОВ</t>
  </si>
  <si>
    <t>Проведение мероприятий для детей и молодежи</t>
  </si>
  <si>
    <t>прочие расходы</t>
  </si>
  <si>
    <t>242</t>
  </si>
  <si>
    <t>Коммунальное хозяйство</t>
  </si>
  <si>
    <t>уличное освещение</t>
  </si>
  <si>
    <t>содержание помещения</t>
  </si>
  <si>
    <t>прочие текушие расходы</t>
  </si>
  <si>
    <t>ГСМ</t>
  </si>
  <si>
    <t>ремонт здания</t>
  </si>
  <si>
    <t>Пенсионное обеспечение</t>
  </si>
  <si>
    <t>доплата к пенсии муниципальным служащим</t>
  </si>
  <si>
    <t>263</t>
  </si>
  <si>
    <t>Содержание аппарата СНД</t>
  </si>
  <si>
    <t>поступление нефинансовых активов</t>
  </si>
  <si>
    <t>увеличение стоимости материальых запасов</t>
  </si>
  <si>
    <t>прочие услуги</t>
  </si>
  <si>
    <t>Национальная экономика</t>
  </si>
  <si>
    <t>241/210</t>
  </si>
  <si>
    <t>241/211</t>
  </si>
  <si>
    <t>241/212</t>
  </si>
  <si>
    <t>241/213</t>
  </si>
  <si>
    <t>241/221</t>
  </si>
  <si>
    <t>241/222</t>
  </si>
  <si>
    <t>241/223</t>
  </si>
  <si>
    <t>241/225</t>
  </si>
  <si>
    <t>241/226</t>
  </si>
  <si>
    <t>241/290</t>
  </si>
  <si>
    <t>241/300</t>
  </si>
  <si>
    <t>241/310</t>
  </si>
  <si>
    <t>241/340</t>
  </si>
  <si>
    <t>Жилищное хозяйство</t>
  </si>
  <si>
    <t>Другие вопросы в области ЖКХ</t>
  </si>
  <si>
    <t>Расходы на предоставление межбюджетных трансфертов для обеспечения жильем молодые семьи</t>
  </si>
  <si>
    <t>Зав.бюджетным отделом                                М.В.Бузина</t>
  </si>
  <si>
    <t>Вид расхода</t>
  </si>
  <si>
    <t>Доп.эк. статья</t>
  </si>
  <si>
    <t>Расходы на определение рыночной стоимости муниципального имущества путём независимой оценки муниципального имущества и оценки аренды муниципального МО г.Карабаново</t>
  </si>
  <si>
    <t>Расходы на технические паспорта и технические планы объектов недвижимости МО г.Карабаново</t>
  </si>
  <si>
    <t>Расходы на осуществление государственного кадастрового учета земельных участков</t>
  </si>
  <si>
    <t>МП "Приведение в нормативное состояние улично-дорожной сети и объектов благоустройства МО города Карабаново в 2014-2018 годах"</t>
  </si>
  <si>
    <t>Национальная безопасность и правоохранительная деятельность</t>
  </si>
  <si>
    <t>Иные межбюджетные трансферты</t>
  </si>
  <si>
    <t>Межбюджетные трансферты на передачу части полномочий на объединение финансовых средств, для создания аварийно-спасательного формирования в МО Александровский район</t>
  </si>
  <si>
    <t>МП "Обеспечение пожарной безопасности в городе Карабаново на период 2016-2018 годов"</t>
  </si>
  <si>
    <t>Расходы на обеспечение первичных мер пожарной безопасности, противопожарной защиты населённого пункта на территории муниципального образования</t>
  </si>
  <si>
    <t>Расходы на ремонт дорожного покрытия и объектов благоустройства улично-дорожной сети МО г.Карабаново</t>
  </si>
  <si>
    <t>Услуги по содержанию имущества</t>
  </si>
  <si>
    <t>Расходы на технический надзор за осуществлением ремонта дорожного покрытия и объектов благоустройства улично-дорожной сети МО г.Карабаново</t>
  </si>
  <si>
    <t>Расходы на содержание автомобильных дорог МО г.Карабаново и включающих в себя механическую и ручную очистку дорожного полотна и обочин, посыпку дорог пескосоляными смесями и противогололёдными реагентами, полив проезжей части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</si>
  <si>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инженерной и транспортной инфраструктуры земельных участков, передаваемых многодетным семьям</t>
  </si>
  <si>
    <t>межбюджетные трансферты</t>
  </si>
  <si>
    <t>Субсидии некоммерческим организациям на обеспечение мероприятий по ремонту многоквартирных домов</t>
  </si>
  <si>
    <t>Безвозмездные и безвозвратные перечисления</t>
  </si>
  <si>
    <t>Благоустройство</t>
  </si>
  <si>
    <t>Основное мероприятие "Расходы на содержание скверов, аллей площадей, пешеходных зон, включающих в себя механическую и ручную уборку, подметание, вывоз снега, россыпь противогололёдных реагентов, полив пешеходных зон и тротуаров"</t>
  </si>
  <si>
    <t>МП "Содержание скверов, аллей, площадей, пешеходных зон в городе Карабаново на 2014-2018 годы"</t>
  </si>
  <si>
    <t>Основное мероприятие "Расходы на озеленение (посадку зелёных насаждений) в городе Карабаново</t>
  </si>
  <si>
    <t>МП "Благоустройство и реконструкция кладбища в городе Карабаново на 2014-2018 годы"</t>
  </si>
  <si>
    <t>МП" Программа благоустройства территории города Карабаново на 2014-2018 годы"</t>
  </si>
  <si>
    <t>Основное мероприятие " Расходы на очистку территории кладбища"</t>
  </si>
  <si>
    <t>МП "Осуществление комплекса мероприятий по оказанию услуг в сфере коммунального  и хозяйственного обеспечения деятельности МКУ "ДЖН" города Карабаново на 2014-2018 годы"</t>
  </si>
  <si>
    <t>Основное мероприятие "Расходы на выплаты по оплате труда работников МКУ "Дирекция жизнеобеспечения населения " города Кароабаново</t>
  </si>
  <si>
    <t>000</t>
  </si>
  <si>
    <t>Основное мероприятие " Расходы на оплату услуг по содержанию здания и имущества"</t>
  </si>
  <si>
    <t>Основное мероприятие " Расходы на оплату прочих работ, услуг, которые не относятся к услугам по содержанию имущества"</t>
  </si>
  <si>
    <t>Основное мероприятие " Расходы на оплату налогов, сборов, штрафов и пеней"</t>
  </si>
  <si>
    <t>Основное мероприятие " Расходы на увеличение стоимости основных средств</t>
  </si>
  <si>
    <t>Основное мероприятие " Расходы на приобретение горюче-смазочных материалов"</t>
  </si>
  <si>
    <t>Основное мероприятие "Хозяйственные расходы"</t>
  </si>
  <si>
    <t>340.4</t>
  </si>
  <si>
    <t>Увеличение ст-ти материальных запасов</t>
  </si>
  <si>
    <t>МП "Детская и молодёжная политика города Карабаново на 2014-2018 годы"</t>
  </si>
  <si>
    <t>Основное мероприятие " Расходы на проведение городских мероприятий, праздников, фестивалей, выставок и конкурсов для детей и молодёжи"</t>
  </si>
  <si>
    <t>МП "Сохранение и развитие культуры города Карабаново на 2014 -2018 годы"</t>
  </si>
  <si>
    <t>Основное мероприятие "Расходы на приобретение для городской библиотеки техники, мебели в читальный зал"</t>
  </si>
  <si>
    <t>увеличение стоимости основных средств</t>
  </si>
  <si>
    <t>Основное мероприятие "Расходы на комплектование книжного фонда"</t>
  </si>
  <si>
    <t>Основное мероприятие "Расходы на ремонт фасада здания Дома культуры"</t>
  </si>
  <si>
    <t>услуги по содержанию помещения</t>
  </si>
  <si>
    <t>Основное мероприятие "Субсидии на финансовое обеспечение муниципального задания на оказание муниципальных услуг (выполнение работ) МБУК Дом культуры города Карабаново"</t>
  </si>
  <si>
    <t>241</t>
  </si>
  <si>
    <t>Расходы на обеспечение функций органов местного самоуправления по размещению информации в средствах массовой информации</t>
  </si>
  <si>
    <t>МП "Развитие физической культуры и спорта города Карабаново на 2014-2018 годы"</t>
  </si>
  <si>
    <t>МП "Формирование доступной среды жизнедеятельности для инвалидов в городе Карабаново на 2014-2018 годы"</t>
  </si>
  <si>
    <t>МП "Социальная политика города Карабаново на 2012-2018 годы"</t>
  </si>
  <si>
    <t>Основное мероприятие "Расходы на проведение городских мероприятий, праздников, фестивалей, выставок и конкурсов"</t>
  </si>
  <si>
    <t>Основное мероприятие "Субсидии на финансовое обеспечение муниципального задания на оказание муниципальных услуг (выполнение работ) МБУ Центр физической культуры и спорта детей и юношества" Карабановец"</t>
  </si>
  <si>
    <t>Основное мероприятие "Расходы на проведение городских спортивных мероприятий, соревнований, турниров, гонок, эстафет"</t>
  </si>
  <si>
    <t>Основное мероприятие "Расходы на приобретение спортивного инвентаря"</t>
  </si>
  <si>
    <t>Основное мероприятие "Расходы на оборудование в микрорайонах города Карабаново детских спортивных площадок"</t>
  </si>
  <si>
    <t>Расходы на обеспечение функций органов местного самоуправления на управление муниципального имуществом</t>
  </si>
  <si>
    <t>коммунальные услуги</t>
  </si>
  <si>
    <t>услуги по содержанию имущества</t>
  </si>
  <si>
    <t>МП "Программа модернизации уличного освещения в городе Карабаново на 2014-2017 годы"</t>
  </si>
  <si>
    <t>Основное мероприятие "Расходы на оснащение и модернизацию уличного освещения"</t>
  </si>
  <si>
    <t>Основное мероприятие "Расходы на обустройство площадок для сбора мусора"</t>
  </si>
  <si>
    <t>Основное мероприятие "Расходы на ремонт  здания библиотеки"</t>
  </si>
  <si>
    <t>Основное мероприятие "Субсидии на финансовое обеспечение муниципального задания на оказание муниципальных услуг (выполнение работ) МБУК " Карабановская городская библиотека имени Ю.Н.Худова"</t>
  </si>
  <si>
    <t>Расходы на предоставление межбюджетных трансфертов для обеспечения жильем многодетные семьи</t>
  </si>
  <si>
    <t>Основное мероприятие "Расходы на проведение городских мероприятий для инвалидов"</t>
  </si>
  <si>
    <t>Основное мероприятие "Расходы на выделение мест для стоянки автотранспортных средств инвалидов с установкой опознавательных знаков и дорожной разметки"</t>
  </si>
  <si>
    <t>Основное мероприятие "Расходы на установку ограждения вокруг стадиона"</t>
  </si>
  <si>
    <t>Охрана окружающей среды</t>
  </si>
  <si>
    <t>Расходы на обеспечение функций органов местного самоуправления по вопросам охраны окружающей среды</t>
  </si>
  <si>
    <t>Основное мероприятие "Расходы на уплату членских взносов и иных платежей"</t>
  </si>
  <si>
    <t xml:space="preserve">прочие услуги </t>
  </si>
  <si>
    <t>Расходы на устройство барьерного ограждения вдоль дороги местного значения</t>
  </si>
  <si>
    <t>Транспортные расходы по доставке строительных материалов в целях проведения ремонта дорог в границах муниципального образования</t>
  </si>
  <si>
    <t>транспортные услуги</t>
  </si>
  <si>
    <t>Оценка уязвимости транспортной инфраструктуры муниципального образования город Карабаново</t>
  </si>
  <si>
    <t>Разработка планов обеспечения транспортной безопасности объектов транспортной инфраструктуры муниципального образования город Карабаново</t>
  </si>
  <si>
    <t>Изготовление проекта организации дорожного движения муниципального образования город Карабаново</t>
  </si>
  <si>
    <t>МП "Программа модернизации систем водоснабжения и водоотведения города Карабаново на 2017-2019 годы"</t>
  </si>
  <si>
    <t>Основное мероприятие "Расходы на отлов бродячих животных в границах муниципального образования город Карабаново"</t>
  </si>
  <si>
    <t>"Субсидия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области"</t>
  </si>
  <si>
    <t>Расходы на капитальный ремонт жилого фонда, находящегося в муниципальной собственности поселения</t>
  </si>
  <si>
    <t>Взносы на капитальный ремонт жилого фонда, находящегося в муниципальной собственности поселения, в Фонд капитального ремонта многоквартирных домов Владимирской области</t>
  </si>
  <si>
    <t>Расходы на содержание муниципального  жилого фонда</t>
  </si>
  <si>
    <t>Основное мероприятие "Транспортные расходы"</t>
  </si>
  <si>
    <t>транспортные расходы</t>
  </si>
  <si>
    <t>Основное мероприятие "Расходы на питание воспитанников во время соревнований, проходящих за пределами города"</t>
  </si>
  <si>
    <t>Расходы на исполнение судебных актов Российской Федерации</t>
  </si>
  <si>
    <t>"Расходы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 (доля муниципального образования)"</t>
  </si>
  <si>
    <t>Основное мероприятие "Расходы на установку дорожных знаков"</t>
  </si>
  <si>
    <t>Территориальная избирательная комиссия Александровского района</t>
  </si>
  <si>
    <t>Выборы в представительные органы</t>
  </si>
  <si>
    <t>Основное мероприятие "Расходы на спиливание и кронирование деревьев в лесопарковых и придорожных зонах"</t>
  </si>
  <si>
    <t>Социальное обеспечение населения</t>
  </si>
  <si>
    <t>262</t>
  </si>
  <si>
    <t>Расходы на материальноеобеспечение предоставления дополнительных мер социальной поддержки граждан,проживающих в одноэтажных жилых домах с централизованным отоплением города Карабаново</t>
  </si>
  <si>
    <t>Расходы на обустройство пешеходных переходов на автомобильные дороги г.Карабаново</t>
  </si>
  <si>
    <t>Расходы на исполнение функций учредителя</t>
  </si>
  <si>
    <t>Расходы на приобретение и установку новогодней атрибутики</t>
  </si>
  <si>
    <t>увеличение ст-ти основных средств</t>
  </si>
  <si>
    <t>исполнение судебных актов РФ</t>
  </si>
  <si>
    <t>Расходы на ямочный ремонт автомобильных дорог муниципального образоания город Карабаново</t>
  </si>
  <si>
    <t>МП "Программа комплексного развития транспортной инфраструктуры МО г.Карабаново на 2017-2030 годы</t>
  </si>
  <si>
    <t>Расходы на повышение оплаты труда работников бюджетной сферы в соответствии с Указом Президента РФ от 07.05.12г. №597, №7761 от 01.07.2012г. доля областного бюджета</t>
  </si>
  <si>
    <t>Расходы на повышение оплаты труда работников бюджетной сферы города Карабаново в соответствии с Указом Президента РФ от 07.05.12г. №597, №7761 от 01.07.2012г. доля местного бюджета</t>
  </si>
  <si>
    <t>МП "Проведение оценки муниципального имущеста города карабаново и оценки аренды муниципального имущества города карабаново на 2018-2020 годы"</t>
  </si>
  <si>
    <t>МП "Оформление права собственности на муниципальное имущесвто МО город Карабаново на 2014-2017 годы"</t>
  </si>
  <si>
    <t>МП "Содержание автомобильных дорог местного значения МО город Карабаново на 2017-2030 годы"</t>
  </si>
  <si>
    <t>МП " Программа модернизации уличного освещения в городе Карабаново на 2014-2019 годы"</t>
  </si>
  <si>
    <t xml:space="preserve"> " Расходы на оснощение и модернизацию уличного освещения"</t>
  </si>
  <si>
    <t>услуги по содержанию</t>
  </si>
  <si>
    <t xml:space="preserve"> " Расходы на техническое обслуживание уличного освещения"</t>
  </si>
  <si>
    <t>244</t>
  </si>
  <si>
    <t>МП "Энергосбережение и повышение энергетической эффективности на территории муниципального образования "Городское поселение Карабаново" Владимирской области на 2010-2020 годы"</t>
  </si>
  <si>
    <t xml:space="preserve"> " Возмещение затрат на установку индивидуальных приборов учета"</t>
  </si>
  <si>
    <t>Социальные выплаты</t>
  </si>
  <si>
    <t>321</t>
  </si>
  <si>
    <t>МП"Благоустройства территории города Карабаново на 2014-2018 годы"</t>
  </si>
  <si>
    <t>МП "Формирование современной городской среды на 2018 - 2022 г.г."</t>
  </si>
  <si>
    <t>Расходы на благоустройство дворовых территорий многоквартирных домов"</t>
  </si>
  <si>
    <t>Расходы на "Технический надзор за мероприятиями по благоустройству дворовых территорий многоквартирных домов"</t>
  </si>
  <si>
    <t>Расходы на благоустройство дворовых территорий многоквартирных домов за средств субсидии из областного бюджета"</t>
  </si>
  <si>
    <t>240</t>
  </si>
  <si>
    <t>Основное мероприятие  "Расходы на преобретение аттракционов для городского парка"</t>
  </si>
  <si>
    <t>Основное мероприятие "Расходы на доведение заработной платы работникам МКУ "Дирекция жизнеобеспечения населения" город Карабаново</t>
  </si>
  <si>
    <t>Основное мероприятие "Субсидия на финансовое обеспечение дорожной деятельности в отношении автомобильных дорог общего пользования местного значения в рамках поручения Губернатора Владимирской области"</t>
  </si>
  <si>
    <t>Основное мероприятие "Субсидии на финансовое обеспечение муниципального задания на оказание муниципальных услуг (выполнение работ) МБУК Дом культуры города Карабаново" до МРОТ"</t>
  </si>
  <si>
    <t>Основное мероприятие "Субсидии  на финансовое обеспечение муниципального задания на оказание муниципальных услуг(выполнение работ) на доведение заработной платы работников МБУ Цент физической культуры и спорта детей и юношества "Карабановец" до МРОТ</t>
  </si>
  <si>
    <t>Резерв для участия в региональных программах</t>
  </si>
  <si>
    <t>Основное мероприятие "Расходы на материальное обеспечение изготовление проекта организации дорожного движения муниципального образования город Карабаново"</t>
  </si>
  <si>
    <t>"Расходы реализацию мероприятий по переселению граждан из аварийного жилищного фонда на территории муниципального образования город Карабаново (доля областного бюджета)</t>
  </si>
  <si>
    <t>"Расходы реализацию мероприятий по переселению граждан из аварийного жилищного фонда на территории муниципального образования город Карабаново (доля софинансирования местного бюджета)</t>
  </si>
  <si>
    <t>МП " Переселение граждан из аварийного жилищного фонда в муниципальном образовании город Карабаново Александровского района Владимирской области на 2018-2022 годы""</t>
  </si>
  <si>
    <t>МП "Программа модернизации систем водоснабжения и водоотведения города Карабаново на 2017 - 2019 годы"</t>
  </si>
  <si>
    <t>Расходы на изготовление проектно-сметной документации по приобретению и установке фильтра обеззараживания сточных вод"</t>
  </si>
  <si>
    <t>"Расходы на проведение ремонта и обеспечение благоустройства дворовых территорий многоквартирных домов"</t>
  </si>
  <si>
    <t>Расходы на текущий ремонт дороги по улице "переулок Чистопольный"</t>
  </si>
  <si>
    <t>МП "Благоустройство территории города Карабаново на 2014-2018 г</t>
  </si>
  <si>
    <t>Расходы на приобретение автомобильной техники</t>
  </si>
  <si>
    <t>Расходы на материальное обеспечение мероприятий по проведению оценки жилого фонда</t>
  </si>
  <si>
    <t>социальные выплаты</t>
  </si>
  <si>
    <t>"Расходы на материальное оеспечение мероприятий по подключению к сетям энергоснажения земельных участков,передаваемых многодетным семьям"</t>
  </si>
  <si>
    <t>Субсидии на иные цели,не связанные с финансовым выполнением муниципального задания МБУК "Карабановская городская библиотека имени Ю.Н. Худова"</t>
  </si>
  <si>
    <t>Субсидии на иные цели, не связанные с финансовым выполнением муниципального задания МБУ "Центр физической культуры и спорта детей и юношества  "Карабановец"</t>
  </si>
  <si>
    <t>Расходы на софинансирование проектов модернизации по концессионным соглашениям в сфере тепло-, водоснабжения, водоотведения, очистки  сточных вод и обращения с твердыми комунальными отходами (субсидия из областного бюджета)</t>
  </si>
  <si>
    <t>Расходы на несение горизонтальной разметки  на автомобильной  дороге г.Карабаново"</t>
  </si>
  <si>
    <t>Расходы по доставке строительных материалов в целях проведения ремонта дорог в границах муниципального образования</t>
  </si>
  <si>
    <t>Основное мероприятие "Субсидия из областного бюджета на переселение граждан из аварийного жилищного фонда"</t>
  </si>
  <si>
    <t>(по состоянию на "_01___" _10_______________ 2018__г.)</t>
  </si>
  <si>
    <t>Расходы на изготовение проектно-сметной документации по ремонту городских канализационных очистных сооружений</t>
  </si>
  <si>
    <t>Кассовый план исполнения бюджета города Карабаново на 2018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</si>
</sst>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[$-FC19]d\ mmmm\ yyyy\ &quot;г.&quot;"/>
    <numFmt numFmtId="181" formatCode="0.000000"/>
    <numFmt numFmtId="182" formatCode="0.0000000"/>
    <numFmt numFmtId="183" formatCode="0.00000000"/>
    <numFmt numFmtId="184" formatCode="0.000000000"/>
    <numFmt numFmtId="185" formatCode="0.0000000000"/>
  </numFmts>
  <fonts count="72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11" xfId="0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right" wrapText="1"/>
    </xf>
    <xf numFmtId="49" fontId="16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79" fontId="1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textRotation="90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1" xfId="0" applyFont="1" applyFill="1" applyBorder="1" applyAlignment="1">
      <alignment/>
    </xf>
    <xf numFmtId="179" fontId="1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9" fontId="1" fillId="0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179" fontId="11" fillId="33" borderId="10" xfId="0" applyNumberFormat="1" applyFont="1" applyFill="1" applyBorder="1" applyAlignment="1">
      <alignment/>
    </xf>
    <xf numFmtId="179" fontId="1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textRotation="90"/>
    </xf>
    <xf numFmtId="0" fontId="1" fillId="33" borderId="13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67" fillId="0" borderId="10" xfId="0" applyNumberFormat="1" applyFont="1" applyFill="1" applyBorder="1" applyAlignment="1">
      <alignment/>
    </xf>
    <xf numFmtId="2" fontId="68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69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1" fontId="17" fillId="0" borderId="10" xfId="0" applyNumberFormat="1" applyFont="1" applyFill="1" applyBorder="1" applyAlignment="1">
      <alignment/>
    </xf>
    <xf numFmtId="1" fontId="16" fillId="0" borderId="1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/>
    </xf>
    <xf numFmtId="176" fontId="11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2" fontId="17" fillId="33" borderId="10" xfId="0" applyNumberFormat="1" applyFont="1" applyFill="1" applyBorder="1" applyAlignment="1">
      <alignment/>
    </xf>
    <xf numFmtId="1" fontId="17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vertical="top" wrapText="1"/>
    </xf>
    <xf numFmtId="2" fontId="10" fillId="33" borderId="10" xfId="0" applyNumberFormat="1" applyFont="1" applyFill="1" applyBorder="1" applyAlignment="1">
      <alignment vertical="center"/>
    </xf>
    <xf numFmtId="0" fontId="26" fillId="33" borderId="10" xfId="0" applyFont="1" applyFill="1" applyBorder="1" applyAlignment="1">
      <alignment vertical="top" wrapText="1"/>
    </xf>
    <xf numFmtId="176" fontId="10" fillId="33" borderId="10" xfId="0" applyNumberFormat="1" applyFont="1" applyFill="1" applyBorder="1" applyAlignment="1">
      <alignment/>
    </xf>
    <xf numFmtId="179" fontId="10" fillId="33" borderId="10" xfId="0" applyNumberFormat="1" applyFont="1" applyFill="1" applyBorder="1" applyAlignment="1">
      <alignment/>
    </xf>
    <xf numFmtId="176" fontId="19" fillId="33" borderId="10" xfId="0" applyNumberFormat="1" applyFont="1" applyFill="1" applyBorder="1" applyAlignment="1">
      <alignment/>
    </xf>
    <xf numFmtId="179" fontId="17" fillId="33" borderId="10" xfId="0" applyNumberFormat="1" applyFont="1" applyFill="1" applyBorder="1" applyAlignment="1">
      <alignment/>
    </xf>
    <xf numFmtId="181" fontId="17" fillId="33" borderId="10" xfId="0" applyNumberFormat="1" applyFont="1" applyFill="1" applyBorder="1" applyAlignment="1">
      <alignment/>
    </xf>
    <xf numFmtId="181" fontId="10" fillId="33" borderId="10" xfId="0" applyNumberFormat="1" applyFont="1" applyFill="1" applyBorder="1" applyAlignment="1">
      <alignment/>
    </xf>
    <xf numFmtId="181" fontId="11" fillId="0" borderId="10" xfId="0" applyNumberFormat="1" applyFont="1" applyFill="1" applyBorder="1" applyAlignment="1">
      <alignment/>
    </xf>
    <xf numFmtId="182" fontId="10" fillId="0" borderId="10" xfId="0" applyNumberFormat="1" applyFont="1" applyFill="1" applyBorder="1" applyAlignment="1">
      <alignment/>
    </xf>
    <xf numFmtId="182" fontId="11" fillId="0" borderId="10" xfId="0" applyNumberFormat="1" applyFont="1" applyFill="1" applyBorder="1" applyAlignment="1">
      <alignment/>
    </xf>
    <xf numFmtId="182" fontId="1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vertical="top" wrapText="1"/>
    </xf>
    <xf numFmtId="0" fontId="27" fillId="33" borderId="10" xfId="0" applyFont="1" applyFill="1" applyBorder="1" applyAlignment="1">
      <alignment vertical="top" wrapText="1"/>
    </xf>
    <xf numFmtId="0" fontId="27" fillId="33" borderId="10" xfId="0" applyFont="1" applyFill="1" applyBorder="1" applyAlignment="1">
      <alignment wrapText="1"/>
    </xf>
    <xf numFmtId="49" fontId="21" fillId="33" borderId="10" xfId="0" applyNumberFormat="1" applyFont="1" applyFill="1" applyBorder="1" applyAlignment="1">
      <alignment/>
    </xf>
    <xf numFmtId="49" fontId="24" fillId="33" borderId="10" xfId="0" applyNumberFormat="1" applyFont="1" applyFill="1" applyBorder="1" applyAlignment="1">
      <alignment/>
    </xf>
    <xf numFmtId="176" fontId="17" fillId="33" borderId="10" xfId="0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2" fontId="16" fillId="33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79" fontId="12" fillId="33" borderId="10" xfId="0" applyNumberFormat="1" applyFont="1" applyFill="1" applyBorder="1" applyAlignment="1">
      <alignment/>
    </xf>
    <xf numFmtId="2" fontId="68" fillId="33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2" fontId="70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wrapText="1"/>
    </xf>
    <xf numFmtId="0" fontId="28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0" fontId="29" fillId="33" borderId="10" xfId="0" applyFont="1" applyFill="1" applyBorder="1" applyAlignment="1">
      <alignment vertical="top" wrapText="1"/>
    </xf>
    <xf numFmtId="0" fontId="30" fillId="33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9" fontId="19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2" fontId="68" fillId="33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top" wrapText="1"/>
    </xf>
    <xf numFmtId="179" fontId="10" fillId="33" borderId="10" xfId="0" applyNumberFormat="1" applyFont="1" applyFill="1" applyBorder="1" applyAlignment="1">
      <alignment horizontal="center"/>
    </xf>
    <xf numFmtId="182" fontId="17" fillId="0" borderId="10" xfId="0" applyNumberFormat="1" applyFont="1" applyFill="1" applyBorder="1" applyAlignment="1">
      <alignment/>
    </xf>
    <xf numFmtId="182" fontId="16" fillId="0" borderId="10" xfId="0" applyNumberFormat="1" applyFont="1" applyFill="1" applyBorder="1" applyAlignment="1">
      <alignment/>
    </xf>
    <xf numFmtId="182" fontId="19" fillId="0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49" fontId="11" fillId="0" borderId="24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7" fillId="0" borderId="24" xfId="0" applyNumberFormat="1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left"/>
    </xf>
    <xf numFmtId="49" fontId="10" fillId="0" borderId="22" xfId="0" applyNumberFormat="1" applyFont="1" applyFill="1" applyBorder="1" applyAlignment="1">
      <alignment horizontal="left"/>
    </xf>
    <xf numFmtId="49" fontId="10" fillId="33" borderId="24" xfId="0" applyNumberFormat="1" applyFont="1" applyFill="1" applyBorder="1" applyAlignment="1">
      <alignment horizontal="left" vertical="center"/>
    </xf>
    <xf numFmtId="49" fontId="10" fillId="33" borderId="22" xfId="0" applyNumberFormat="1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178" fontId="12" fillId="0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70" fillId="0" borderId="1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 vertical="center"/>
    </xf>
    <xf numFmtId="2" fontId="67" fillId="33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5"/>
  <sheetViews>
    <sheetView tabSelected="1" zoomScalePageLayoutView="80" workbookViewId="0" topLeftCell="A1">
      <selection activeCell="F337" sqref="F337"/>
    </sheetView>
  </sheetViews>
  <sheetFormatPr defaultColWidth="9.125" defaultRowHeight="12.75"/>
  <cols>
    <col min="1" max="1" width="28.00390625" style="85" customWidth="1"/>
    <col min="2" max="2" width="5.00390625" style="1" customWidth="1"/>
    <col min="3" max="3" width="6.00390625" style="1" customWidth="1"/>
    <col min="4" max="4" width="1.875" style="1" hidden="1" customWidth="1"/>
    <col min="5" max="5" width="14.50390625" style="70" customWidth="1"/>
    <col min="6" max="6" width="11.50390625" style="85" customWidth="1"/>
    <col min="7" max="7" width="13.125" style="85" customWidth="1"/>
    <col min="8" max="8" width="13.00390625" style="70" customWidth="1"/>
    <col min="9" max="9" width="11.50390625" style="70" customWidth="1"/>
    <col min="10" max="10" width="13.50390625" style="85" customWidth="1"/>
    <col min="11" max="11" width="13.625" style="85" customWidth="1"/>
    <col min="12" max="12" width="11.50390625" style="85" customWidth="1"/>
    <col min="13" max="13" width="14.375" style="70" customWidth="1"/>
    <col min="14" max="14" width="10.00390625" style="85" customWidth="1"/>
    <col min="15" max="15" width="11.125" style="85" customWidth="1"/>
    <col min="16" max="16" width="11.375" style="85" customWidth="1"/>
    <col min="17" max="17" width="11.50390625" style="70" customWidth="1"/>
    <col min="18" max="18" width="11.00390625" style="70" customWidth="1"/>
    <col min="19" max="19" width="10.00390625" style="70" customWidth="1"/>
    <col min="20" max="20" width="11.50390625" style="70" customWidth="1"/>
    <col min="21" max="21" width="12.125" style="70" customWidth="1"/>
    <col min="22" max="22" width="9.125" style="70" customWidth="1"/>
    <col min="23" max="23" width="9.50390625" style="70" bestFit="1" customWidth="1"/>
    <col min="24" max="24" width="11.50390625" style="1" bestFit="1" customWidth="1"/>
    <col min="25" max="16384" width="9.125" style="1" customWidth="1"/>
  </cols>
  <sheetData>
    <row r="1" ht="16.5" customHeight="1">
      <c r="P1" s="178"/>
    </row>
    <row r="2" spans="3:11" ht="17.25" customHeight="1">
      <c r="C2" s="183" t="s">
        <v>316</v>
      </c>
      <c r="D2" s="183"/>
      <c r="E2" s="183"/>
      <c r="F2" s="183"/>
      <c r="G2" s="183"/>
      <c r="H2" s="183"/>
      <c r="I2" s="183"/>
      <c r="J2" s="183"/>
      <c r="K2" s="183"/>
    </row>
    <row r="3" spans="5:21" ht="18.75" thickBot="1">
      <c r="E3" s="83" t="s">
        <v>314</v>
      </c>
      <c r="U3" s="72" t="s">
        <v>39</v>
      </c>
    </row>
    <row r="4" spans="20:21" ht="12.75">
      <c r="T4" s="73" t="s">
        <v>36</v>
      </c>
      <c r="U4" s="74"/>
    </row>
    <row r="5" spans="1:21" ht="12.75">
      <c r="A5" s="85" t="s">
        <v>40</v>
      </c>
      <c r="T5" s="73" t="s">
        <v>37</v>
      </c>
      <c r="U5" s="75"/>
    </row>
    <row r="6" spans="1:21" ht="13.5" thickBot="1">
      <c r="A6" s="85" t="s">
        <v>41</v>
      </c>
      <c r="T6" s="73" t="s">
        <v>38</v>
      </c>
      <c r="U6" s="76"/>
    </row>
    <row r="7" ht="7.5" customHeight="1" thickBot="1"/>
    <row r="8" spans="1:23" s="4" customFormat="1" ht="12.75" customHeight="1">
      <c r="A8" s="184" t="s">
        <v>4</v>
      </c>
      <c r="B8" s="186" t="s">
        <v>166</v>
      </c>
      <c r="C8" s="186" t="s">
        <v>167</v>
      </c>
      <c r="D8" s="188" t="s">
        <v>89</v>
      </c>
      <c r="E8" s="197" t="s">
        <v>75</v>
      </c>
      <c r="F8" s="190" t="s">
        <v>5</v>
      </c>
      <c r="G8" s="190"/>
      <c r="H8" s="190"/>
      <c r="I8" s="193" t="s">
        <v>9</v>
      </c>
      <c r="J8" s="190" t="s">
        <v>42</v>
      </c>
      <c r="K8" s="190"/>
      <c r="L8" s="190"/>
      <c r="M8" s="193" t="s">
        <v>45</v>
      </c>
      <c r="N8" s="190" t="s">
        <v>43</v>
      </c>
      <c r="O8" s="190"/>
      <c r="P8" s="190"/>
      <c r="Q8" s="193" t="s">
        <v>46</v>
      </c>
      <c r="R8" s="190" t="s">
        <v>44</v>
      </c>
      <c r="S8" s="190"/>
      <c r="T8" s="190"/>
      <c r="U8" s="191" t="s">
        <v>47</v>
      </c>
      <c r="V8" s="77"/>
      <c r="W8" s="77"/>
    </row>
    <row r="9" spans="1:21" ht="60">
      <c r="A9" s="185"/>
      <c r="B9" s="187"/>
      <c r="C9" s="187"/>
      <c r="D9" s="189"/>
      <c r="E9" s="198"/>
      <c r="F9" s="100" t="s">
        <v>6</v>
      </c>
      <c r="G9" s="100" t="s">
        <v>7</v>
      </c>
      <c r="H9" s="78" t="s">
        <v>8</v>
      </c>
      <c r="I9" s="194"/>
      <c r="J9" s="100" t="s">
        <v>10</v>
      </c>
      <c r="K9" s="100" t="s">
        <v>11</v>
      </c>
      <c r="L9" s="100" t="s">
        <v>12</v>
      </c>
      <c r="M9" s="194"/>
      <c r="N9" s="100" t="s">
        <v>13</v>
      </c>
      <c r="O9" s="100" t="s">
        <v>14</v>
      </c>
      <c r="P9" s="100" t="s">
        <v>15</v>
      </c>
      <c r="Q9" s="194"/>
      <c r="R9" s="78" t="s">
        <v>16</v>
      </c>
      <c r="S9" s="78" t="s">
        <v>17</v>
      </c>
      <c r="T9" s="78" t="s">
        <v>18</v>
      </c>
      <c r="U9" s="192"/>
    </row>
    <row r="10" spans="1:23" s="3" customFormat="1" ht="13.5" thickBot="1">
      <c r="A10" s="86">
        <v>1</v>
      </c>
      <c r="B10" s="8">
        <v>2</v>
      </c>
      <c r="C10" s="8">
        <f>B10+1</f>
        <v>3</v>
      </c>
      <c r="D10" s="8">
        <f>C10+1</f>
        <v>4</v>
      </c>
      <c r="E10" s="72">
        <v>5</v>
      </c>
      <c r="F10" s="101">
        <f aca="true" t="shared" si="0" ref="F10:U10">E10+1</f>
        <v>6</v>
      </c>
      <c r="G10" s="101">
        <f t="shared" si="0"/>
        <v>7</v>
      </c>
      <c r="H10" s="72">
        <f t="shared" si="0"/>
        <v>8</v>
      </c>
      <c r="I10" s="72">
        <f t="shared" si="0"/>
        <v>9</v>
      </c>
      <c r="J10" s="101">
        <f t="shared" si="0"/>
        <v>10</v>
      </c>
      <c r="K10" s="101">
        <f t="shared" si="0"/>
        <v>11</v>
      </c>
      <c r="L10" s="101">
        <f t="shared" si="0"/>
        <v>12</v>
      </c>
      <c r="M10" s="72">
        <f t="shared" si="0"/>
        <v>13</v>
      </c>
      <c r="N10" s="101">
        <f t="shared" si="0"/>
        <v>14</v>
      </c>
      <c r="O10" s="101">
        <f t="shared" si="0"/>
        <v>15</v>
      </c>
      <c r="P10" s="101">
        <f t="shared" si="0"/>
        <v>16</v>
      </c>
      <c r="Q10" s="72">
        <f t="shared" si="0"/>
        <v>17</v>
      </c>
      <c r="R10" s="72">
        <f t="shared" si="0"/>
        <v>18</v>
      </c>
      <c r="S10" s="72">
        <f t="shared" si="0"/>
        <v>19</v>
      </c>
      <c r="T10" s="79">
        <f t="shared" si="0"/>
        <v>20</v>
      </c>
      <c r="U10" s="79">
        <f t="shared" si="0"/>
        <v>21</v>
      </c>
      <c r="V10" s="80"/>
      <c r="W10" s="80"/>
    </row>
    <row r="11" spans="1:21" ht="13.5" customHeight="1">
      <c r="A11" s="87" t="s">
        <v>19</v>
      </c>
      <c r="B11" s="36"/>
      <c r="C11" s="37" t="s">
        <v>26</v>
      </c>
      <c r="D11" s="38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81"/>
      <c r="R11" s="81"/>
      <c r="S11" s="81"/>
      <c r="T11" s="81"/>
      <c r="U11" s="81"/>
    </row>
    <row r="12" spans="1:21" ht="12.75">
      <c r="A12" s="88" t="s">
        <v>20</v>
      </c>
      <c r="B12" s="39"/>
      <c r="C12" s="40" t="s">
        <v>27</v>
      </c>
      <c r="D12" s="41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52"/>
      <c r="R12" s="52"/>
      <c r="S12" s="52"/>
      <c r="T12" s="52"/>
      <c r="U12" s="52"/>
    </row>
    <row r="13" spans="1:21" ht="6" customHeight="1">
      <c r="A13" s="88"/>
      <c r="B13" s="39"/>
      <c r="C13" s="40"/>
      <c r="D13" s="41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52"/>
      <c r="R13" s="52"/>
      <c r="S13" s="52"/>
      <c r="T13" s="52"/>
      <c r="U13" s="52"/>
    </row>
    <row r="14" spans="1:21" ht="23.25" customHeight="1">
      <c r="A14" s="88" t="s">
        <v>21</v>
      </c>
      <c r="B14" s="39"/>
      <c r="C14" s="40" t="s">
        <v>28</v>
      </c>
      <c r="D14" s="41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ht="22.5" customHeight="1">
      <c r="A15" s="88" t="s">
        <v>55</v>
      </c>
      <c r="B15" s="39"/>
      <c r="C15" s="40" t="s">
        <v>29</v>
      </c>
      <c r="D15" s="41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ht="12.75">
      <c r="A16" s="88" t="s">
        <v>56</v>
      </c>
      <c r="B16" s="39"/>
      <c r="C16" s="40" t="s">
        <v>30</v>
      </c>
      <c r="D16" s="41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3" ht="12" customHeight="1">
      <c r="A17" s="89" t="s">
        <v>125</v>
      </c>
      <c r="B17" s="42">
        <v>100</v>
      </c>
      <c r="C17" s="43"/>
      <c r="D17" s="44"/>
      <c r="E17" s="116">
        <f>I17+M17+Q17+U17</f>
        <v>2039.1</v>
      </c>
      <c r="F17" s="116">
        <f>F18+F22+F26+F27+F28+F29</f>
        <v>36.5</v>
      </c>
      <c r="G17" s="116">
        <f>G18+G22+G26+G27+G28+G29</f>
        <v>166.85083</v>
      </c>
      <c r="H17" s="116">
        <f>H18+H22+H26+H27+H28+H29</f>
        <v>218.57099999999997</v>
      </c>
      <c r="I17" s="116">
        <f>SUM(F17:H17)</f>
        <v>421.92183</v>
      </c>
      <c r="J17" s="158">
        <f>J18+J22+J26+J27+J28+J29</f>
        <v>109.94725</v>
      </c>
      <c r="K17" s="158">
        <f>K18+K22+K26+K27+K28+K29</f>
        <v>94.22369</v>
      </c>
      <c r="L17" s="158">
        <f>L18+L22+L26+L27+L28+L29</f>
        <v>308.55404</v>
      </c>
      <c r="M17" s="116">
        <f>J17+K17+L17</f>
        <v>512.72498</v>
      </c>
      <c r="N17" s="158">
        <f>N18+N22+N26+N27+N28+N29</f>
        <v>34.97877</v>
      </c>
      <c r="O17" s="158">
        <f>O18+O22+O26+O27+O28+O29</f>
        <v>136.19366</v>
      </c>
      <c r="P17" s="158">
        <f>P18+P22+P26+P27+P28+P29</f>
        <v>312.82311000000004</v>
      </c>
      <c r="Q17" s="116">
        <f>N17+O17+P17</f>
        <v>483.99554</v>
      </c>
      <c r="R17" s="116">
        <f>R18+R22+R26+R27+R28+R29</f>
        <v>193.63765</v>
      </c>
      <c r="S17" s="116">
        <f>S18+S22+S26+S27+S28+S29</f>
        <v>213.39999999999998</v>
      </c>
      <c r="T17" s="116">
        <f>T18+T22+T26+T27+T28+T29</f>
        <v>213.42</v>
      </c>
      <c r="U17" s="116">
        <f>R17+S17+T17</f>
        <v>620.45765</v>
      </c>
      <c r="W17" s="84"/>
    </row>
    <row r="18" spans="1:23" ht="23.25" customHeight="1">
      <c r="A18" s="88" t="s">
        <v>112</v>
      </c>
      <c r="B18" s="39">
        <v>120</v>
      </c>
      <c r="C18" s="40" t="s">
        <v>113</v>
      </c>
      <c r="D18" s="41"/>
      <c r="E18" s="109">
        <f>I18+M18+Q18+U18</f>
        <v>1143.1000000000001</v>
      </c>
      <c r="F18" s="117">
        <f>SUM(F19:F21)</f>
        <v>18</v>
      </c>
      <c r="G18" s="117">
        <f>SUM(G19:G21)</f>
        <v>87.54915</v>
      </c>
      <c r="H18" s="117">
        <f>SUM(H19:H21)</f>
        <v>93.82943999999999</v>
      </c>
      <c r="I18" s="109">
        <f>SUM(F18:H18)</f>
        <v>199.37858999999997</v>
      </c>
      <c r="J18" s="133">
        <f>SUM(J19:J21)</f>
        <v>93.29326</v>
      </c>
      <c r="K18" s="133">
        <f aca="true" t="shared" si="1" ref="K18:T18">SUM(K19:K21)</f>
        <v>90.68929</v>
      </c>
      <c r="L18" s="133">
        <f t="shared" si="1"/>
        <v>241.79169000000002</v>
      </c>
      <c r="M18" s="109">
        <f t="shared" si="1"/>
        <v>425.77423999999996</v>
      </c>
      <c r="N18" s="133">
        <f t="shared" si="1"/>
        <v>13.84437</v>
      </c>
      <c r="O18" s="133">
        <f t="shared" si="1"/>
        <v>55.274330000000006</v>
      </c>
      <c r="P18" s="133">
        <f t="shared" si="1"/>
        <v>170.11884</v>
      </c>
      <c r="Q18" s="109">
        <f t="shared" si="1"/>
        <v>239.23754000000002</v>
      </c>
      <c r="R18" s="117">
        <f t="shared" si="1"/>
        <v>50.079630000000016</v>
      </c>
      <c r="S18" s="117">
        <f t="shared" si="1"/>
        <v>114.31</v>
      </c>
      <c r="T18" s="117">
        <f t="shared" si="1"/>
        <v>114.32</v>
      </c>
      <c r="U18" s="109">
        <f>SUM(U19:U21)</f>
        <v>278.70963</v>
      </c>
      <c r="W18" s="84"/>
    </row>
    <row r="19" spans="1:21" ht="12.75">
      <c r="A19" s="88" t="s">
        <v>90</v>
      </c>
      <c r="B19" s="39">
        <v>121</v>
      </c>
      <c r="C19" s="40" t="s">
        <v>91</v>
      </c>
      <c r="D19" s="41"/>
      <c r="E19" s="109">
        <f>I19+M19+Q19+U19</f>
        <v>877.96</v>
      </c>
      <c r="F19" s="117">
        <v>18</v>
      </c>
      <c r="G19" s="117">
        <v>67.24205</v>
      </c>
      <c r="H19" s="117">
        <f>90.34795-18.28234</f>
        <v>72.06560999999999</v>
      </c>
      <c r="I19" s="109">
        <f>SUM(F19:H19)</f>
        <v>157.30766</v>
      </c>
      <c r="J19" s="133">
        <v>71.65383</v>
      </c>
      <c r="K19" s="133">
        <v>69.65383</v>
      </c>
      <c r="L19" s="133">
        <f>73.17+23.29468+85.8841</f>
        <v>182.34878</v>
      </c>
      <c r="M19" s="109">
        <f>SUM(J19:L19)</f>
        <v>323.65644</v>
      </c>
      <c r="N19" s="133">
        <v>13.84437</v>
      </c>
      <c r="O19" s="133">
        <v>44.57706</v>
      </c>
      <c r="P19" s="133">
        <v>125.32476</v>
      </c>
      <c r="Q19" s="109">
        <f>SUM(N19:P19)</f>
        <v>183.74619</v>
      </c>
      <c r="R19" s="117">
        <f>87.79+16.37358-66.51387</f>
        <v>37.64971000000001</v>
      </c>
      <c r="S19" s="117">
        <v>87.8</v>
      </c>
      <c r="T19" s="117">
        <v>87.8</v>
      </c>
      <c r="U19" s="109">
        <f>SUM(R19:T19)</f>
        <v>213.24971</v>
      </c>
    </row>
    <row r="20" spans="1:21" ht="12.75" hidden="1">
      <c r="A20" s="88" t="s">
        <v>92</v>
      </c>
      <c r="B20" s="39"/>
      <c r="C20" s="40" t="s">
        <v>93</v>
      </c>
      <c r="D20" s="41"/>
      <c r="E20" s="109">
        <f>M20+Q20+U20</f>
        <v>0</v>
      </c>
      <c r="F20" s="117"/>
      <c r="G20" s="117"/>
      <c r="H20" s="117"/>
      <c r="I20" s="109">
        <v>0</v>
      </c>
      <c r="J20" s="133"/>
      <c r="K20" s="133"/>
      <c r="L20" s="133"/>
      <c r="M20" s="109">
        <f>SUM(J20:L20)</f>
        <v>0</v>
      </c>
      <c r="N20" s="133"/>
      <c r="O20" s="133"/>
      <c r="P20" s="133"/>
      <c r="Q20" s="109">
        <f>SUM(N20:P20)</f>
        <v>0</v>
      </c>
      <c r="R20" s="117"/>
      <c r="S20" s="117"/>
      <c r="T20" s="117"/>
      <c r="U20" s="109">
        <f>SUM(R20:T20)</f>
        <v>0</v>
      </c>
    </row>
    <row r="21" spans="1:21" ht="13.5" customHeight="1">
      <c r="A21" s="88" t="s">
        <v>94</v>
      </c>
      <c r="B21" s="39">
        <v>121</v>
      </c>
      <c r="C21" s="40" t="s">
        <v>95</v>
      </c>
      <c r="D21" s="41"/>
      <c r="E21" s="109">
        <f aca="true" t="shared" si="2" ref="E21:E32">I21+M21+Q21+U21</f>
        <v>265.14</v>
      </c>
      <c r="F21" s="117">
        <v>0</v>
      </c>
      <c r="G21" s="117">
        <v>20.3071</v>
      </c>
      <c r="H21" s="117">
        <f>32.7129-10.94907</f>
        <v>21.76383</v>
      </c>
      <c r="I21" s="109">
        <f>SUM(F21:H21)</f>
        <v>42.07093</v>
      </c>
      <c r="J21" s="133">
        <v>21.63943</v>
      </c>
      <c r="K21" s="133">
        <v>21.03546</v>
      </c>
      <c r="L21" s="133">
        <f>22.1+12.46418+24.87873</f>
        <v>59.44291</v>
      </c>
      <c r="M21" s="109">
        <f>SUM(J21:L21)</f>
        <v>102.1178</v>
      </c>
      <c r="N21" s="133"/>
      <c r="O21" s="133">
        <v>10.69727</v>
      </c>
      <c r="P21" s="133">
        <v>44.79408</v>
      </c>
      <c r="Q21" s="109">
        <f>SUM(N21:P21)</f>
        <v>55.49135</v>
      </c>
      <c r="R21" s="117">
        <f>26.51-14.08008</f>
        <v>12.429920000000001</v>
      </c>
      <c r="S21" s="117">
        <v>26.51</v>
      </c>
      <c r="T21" s="117">
        <v>26.52</v>
      </c>
      <c r="U21" s="109">
        <f>SUM(R21:T21)</f>
        <v>65.45992</v>
      </c>
    </row>
    <row r="22" spans="1:21" ht="20.25" customHeight="1">
      <c r="A22" s="88" t="s">
        <v>112</v>
      </c>
      <c r="B22" s="39">
        <v>120</v>
      </c>
      <c r="C22" s="40" t="s">
        <v>113</v>
      </c>
      <c r="D22" s="41"/>
      <c r="E22" s="109">
        <f>I22+M22+Q22+U22</f>
        <v>876</v>
      </c>
      <c r="F22" s="117">
        <f>F23+F25</f>
        <v>18.5</v>
      </c>
      <c r="G22" s="117">
        <f>G23+G25</f>
        <v>79.30168</v>
      </c>
      <c r="H22" s="117">
        <f>H23+H25</f>
        <v>121.77276</v>
      </c>
      <c r="I22" s="109">
        <f>SUM(F22:H22)</f>
        <v>219.57444</v>
      </c>
      <c r="J22" s="133">
        <f aca="true" t="shared" si="3" ref="J22:U22">SUM(J23:J25)</f>
        <v>16.01959</v>
      </c>
      <c r="K22" s="133">
        <f t="shared" si="3"/>
        <v>0</v>
      </c>
      <c r="L22" s="133">
        <f t="shared" si="3"/>
        <v>64.22794999999999</v>
      </c>
      <c r="M22" s="109">
        <f t="shared" si="3"/>
        <v>80.24753999999999</v>
      </c>
      <c r="N22" s="133">
        <f t="shared" si="3"/>
        <v>18.5</v>
      </c>
      <c r="O22" s="133">
        <f>SUM(O23:O25)</f>
        <v>80.28493</v>
      </c>
      <c r="P22" s="133">
        <f t="shared" si="3"/>
        <v>142.06987</v>
      </c>
      <c r="Q22" s="109">
        <f t="shared" si="3"/>
        <v>240.8548</v>
      </c>
      <c r="R22" s="117">
        <f t="shared" si="3"/>
        <v>140.13322</v>
      </c>
      <c r="S22" s="117">
        <f t="shared" si="3"/>
        <v>97.58999999999999</v>
      </c>
      <c r="T22" s="117">
        <f t="shared" si="3"/>
        <v>97.6</v>
      </c>
      <c r="U22" s="109">
        <f t="shared" si="3"/>
        <v>335.32322</v>
      </c>
    </row>
    <row r="23" spans="1:21" ht="13.5" customHeight="1">
      <c r="A23" s="88" t="s">
        <v>90</v>
      </c>
      <c r="B23" s="39">
        <v>121</v>
      </c>
      <c r="C23" s="40" t="s">
        <v>91</v>
      </c>
      <c r="D23" s="41"/>
      <c r="E23" s="109">
        <f>I23+M23+Q23+U23</f>
        <v>672.815</v>
      </c>
      <c r="F23" s="117">
        <v>18.5</v>
      </c>
      <c r="G23" s="117">
        <v>60.90758</v>
      </c>
      <c r="H23" s="117">
        <v>101.54021</v>
      </c>
      <c r="I23" s="109">
        <f>SUM(F23:H23)</f>
        <v>180.94779</v>
      </c>
      <c r="J23" s="133"/>
      <c r="K23" s="133"/>
      <c r="L23" s="133">
        <f>62.47+93.91221-107.05199</f>
        <v>49.33021999999998</v>
      </c>
      <c r="M23" s="109">
        <f>SUM(J23:L23)</f>
        <v>49.33021999999998</v>
      </c>
      <c r="N23" s="133">
        <v>18.5</v>
      </c>
      <c r="O23" s="133">
        <v>61.66277</v>
      </c>
      <c r="P23" s="133">
        <v>104.82554</v>
      </c>
      <c r="Q23" s="109">
        <f>SUM(N23:P23)</f>
        <v>184.98831</v>
      </c>
      <c r="R23" s="117">
        <f>74.96+151.02199-13.52777-104.82554</f>
        <v>107.62867999999999</v>
      </c>
      <c r="S23" s="117">
        <v>74.96</v>
      </c>
      <c r="T23" s="117">
        <v>74.96</v>
      </c>
      <c r="U23" s="109">
        <f>SUM(R23:T23)</f>
        <v>257.54868</v>
      </c>
    </row>
    <row r="24" spans="1:21" ht="13.5" customHeight="1" hidden="1">
      <c r="A24" s="88" t="s">
        <v>92</v>
      </c>
      <c r="B24" s="39"/>
      <c r="C24" s="40" t="s">
        <v>93</v>
      </c>
      <c r="D24" s="41"/>
      <c r="E24" s="109">
        <f>M24+Q24+U24</f>
        <v>0</v>
      </c>
      <c r="F24" s="117"/>
      <c r="G24" s="117"/>
      <c r="H24" s="117"/>
      <c r="I24" s="109">
        <f>SUM(F24:H24)</f>
        <v>0</v>
      </c>
      <c r="J24" s="133"/>
      <c r="K24" s="133"/>
      <c r="L24" s="133"/>
      <c r="M24" s="109">
        <f>SUM(J24:L24)</f>
        <v>0</v>
      </c>
      <c r="N24" s="133"/>
      <c r="O24" s="133"/>
      <c r="P24" s="133"/>
      <c r="Q24" s="109">
        <f>SUM(N24:P24)</f>
        <v>0</v>
      </c>
      <c r="R24" s="117"/>
      <c r="S24" s="117"/>
      <c r="T24" s="117"/>
      <c r="U24" s="109">
        <f>SUM(R24:T24)</f>
        <v>0</v>
      </c>
    </row>
    <row r="25" spans="1:21" ht="13.5" customHeight="1">
      <c r="A25" s="88" t="s">
        <v>94</v>
      </c>
      <c r="B25" s="39">
        <v>121</v>
      </c>
      <c r="C25" s="40" t="s">
        <v>95</v>
      </c>
      <c r="D25" s="41"/>
      <c r="E25" s="109">
        <f>I25+M25+Q25+U25</f>
        <v>203.185</v>
      </c>
      <c r="F25" s="117">
        <v>0</v>
      </c>
      <c r="G25" s="117">
        <v>18.3941</v>
      </c>
      <c r="H25" s="117">
        <f>26.8859-6.65335</f>
        <v>20.23255</v>
      </c>
      <c r="I25" s="109">
        <f>SUM(F25:H25)</f>
        <v>38.62665</v>
      </c>
      <c r="J25" s="133">
        <v>16.01959</v>
      </c>
      <c r="K25" s="133"/>
      <c r="L25" s="133">
        <f>18.87+28.36376-32.33603</f>
        <v>14.897730000000003</v>
      </c>
      <c r="M25" s="109">
        <f>SUM(J25:L25)</f>
        <v>30.917320000000004</v>
      </c>
      <c r="N25" s="133"/>
      <c r="O25" s="133">
        <v>18.62216</v>
      </c>
      <c r="P25" s="133">
        <v>37.24433</v>
      </c>
      <c r="Q25" s="109">
        <f>SUM(N25:P25)</f>
        <v>55.86649</v>
      </c>
      <c r="R25" s="117">
        <f>22.63+9.87454</f>
        <v>32.50454</v>
      </c>
      <c r="S25" s="117">
        <v>22.63</v>
      </c>
      <c r="T25" s="117">
        <v>22.64</v>
      </c>
      <c r="U25" s="109">
        <f>SUM(R25:T25)</f>
        <v>77.77454</v>
      </c>
    </row>
    <row r="26" spans="1:21" ht="13.5" customHeight="1" hidden="1">
      <c r="A26" s="88" t="s">
        <v>104</v>
      </c>
      <c r="B26" s="39">
        <v>853</v>
      </c>
      <c r="C26" s="40" t="s">
        <v>107</v>
      </c>
      <c r="D26" s="41"/>
      <c r="E26" s="109">
        <f t="shared" si="2"/>
        <v>0</v>
      </c>
      <c r="F26" s="117"/>
      <c r="G26" s="117"/>
      <c r="H26" s="117"/>
      <c r="I26" s="109">
        <f>F26+G26+H26</f>
        <v>0</v>
      </c>
      <c r="J26" s="133"/>
      <c r="K26" s="133"/>
      <c r="L26" s="133"/>
      <c r="M26" s="109">
        <f>J26+K26+L26</f>
        <v>0</v>
      </c>
      <c r="N26" s="133"/>
      <c r="O26" s="133"/>
      <c r="P26" s="133"/>
      <c r="Q26" s="109">
        <f>N26+O26+P26</f>
        <v>0</v>
      </c>
      <c r="R26" s="117"/>
      <c r="S26" s="117"/>
      <c r="T26" s="117"/>
      <c r="U26" s="109">
        <f>R26+S26+T26</f>
        <v>0</v>
      </c>
    </row>
    <row r="27" spans="1:21" ht="13.5" customHeight="1">
      <c r="A27" s="88" t="s">
        <v>224</v>
      </c>
      <c r="B27" s="39">
        <v>244</v>
      </c>
      <c r="C27" s="40" t="s">
        <v>103</v>
      </c>
      <c r="D27" s="41"/>
      <c r="E27" s="109">
        <f>I27+M27+Q27+U27</f>
        <v>10</v>
      </c>
      <c r="F27" s="117">
        <v>0</v>
      </c>
      <c r="G27" s="117">
        <v>0</v>
      </c>
      <c r="H27" s="117">
        <f>2-0.7312</f>
        <v>1.2688000000000001</v>
      </c>
      <c r="I27" s="109">
        <f>F27+G27+H27</f>
        <v>1.2688000000000001</v>
      </c>
      <c r="J27" s="133">
        <v>0.6344</v>
      </c>
      <c r="K27" s="133">
        <v>0.6344</v>
      </c>
      <c r="L27" s="133">
        <f>1+0.4624-0.828</f>
        <v>0.6344</v>
      </c>
      <c r="M27" s="109">
        <f>J27+K27+L27</f>
        <v>1.9032</v>
      </c>
      <c r="N27" s="133">
        <v>0.6344</v>
      </c>
      <c r="O27" s="133">
        <v>0.6344</v>
      </c>
      <c r="P27" s="133">
        <v>0.6344</v>
      </c>
      <c r="Q27" s="109">
        <f>N27+O27+P27</f>
        <v>1.9032</v>
      </c>
      <c r="R27" s="117">
        <f>1+1.1936+0.7312</f>
        <v>2.9248</v>
      </c>
      <c r="S27" s="117">
        <v>1</v>
      </c>
      <c r="T27" s="117">
        <v>1</v>
      </c>
      <c r="U27" s="109">
        <f>R27+S27+T27</f>
        <v>4.924799999999999</v>
      </c>
    </row>
    <row r="28" spans="1:21" ht="13.5" customHeight="1">
      <c r="A28" s="88" t="s">
        <v>147</v>
      </c>
      <c r="B28" s="39"/>
      <c r="C28" s="40" t="s">
        <v>105</v>
      </c>
      <c r="D28" s="41"/>
      <c r="E28" s="109">
        <f>I28+M28+Q28+U28</f>
        <v>8.5</v>
      </c>
      <c r="F28" s="117"/>
      <c r="G28" s="117"/>
      <c r="H28" s="117">
        <v>1.7</v>
      </c>
      <c r="I28" s="109">
        <f>F28+G28+H28</f>
        <v>1.7</v>
      </c>
      <c r="J28" s="133"/>
      <c r="K28" s="133">
        <v>2.9</v>
      </c>
      <c r="L28" s="133">
        <v>1.9</v>
      </c>
      <c r="M28" s="109">
        <f>J28+K28+L28</f>
        <v>4.8</v>
      </c>
      <c r="N28" s="133">
        <v>2</v>
      </c>
      <c r="O28" s="133"/>
      <c r="P28" s="133"/>
      <c r="Q28" s="109">
        <f>N28+O28+P28</f>
        <v>2</v>
      </c>
      <c r="R28" s="117"/>
      <c r="S28" s="117"/>
      <c r="T28" s="117"/>
      <c r="U28" s="109">
        <f>R28+S28+T28</f>
        <v>0</v>
      </c>
    </row>
    <row r="29" spans="1:21" ht="24.75" customHeight="1">
      <c r="A29" s="88" t="s">
        <v>145</v>
      </c>
      <c r="B29" s="39">
        <v>240</v>
      </c>
      <c r="C29" s="40" t="s">
        <v>115</v>
      </c>
      <c r="D29" s="41"/>
      <c r="E29" s="109">
        <f t="shared" si="2"/>
        <v>1.5</v>
      </c>
      <c r="F29" s="117">
        <f>F31+F30</f>
        <v>0</v>
      </c>
      <c r="G29" s="117">
        <f>G31+G30</f>
        <v>0</v>
      </c>
      <c r="H29" s="117">
        <f>H31+H30</f>
        <v>0</v>
      </c>
      <c r="I29" s="109">
        <f>SUM(F29:H29)</f>
        <v>0</v>
      </c>
      <c r="J29" s="133">
        <f>J31+J30</f>
        <v>0</v>
      </c>
      <c r="K29" s="133">
        <f>K31+K30</f>
        <v>0</v>
      </c>
      <c r="L29" s="133">
        <f>L31+L30</f>
        <v>0</v>
      </c>
      <c r="M29" s="117">
        <f>M31</f>
        <v>0</v>
      </c>
      <c r="N29" s="133">
        <f aca="true" t="shared" si="4" ref="N29:T29">N31+N30</f>
        <v>0</v>
      </c>
      <c r="O29" s="133">
        <f t="shared" si="4"/>
        <v>0</v>
      </c>
      <c r="P29" s="133">
        <f t="shared" si="4"/>
        <v>0</v>
      </c>
      <c r="Q29" s="117">
        <f t="shared" si="4"/>
        <v>0</v>
      </c>
      <c r="R29" s="117">
        <f t="shared" si="4"/>
        <v>0.5</v>
      </c>
      <c r="S29" s="117">
        <f t="shared" si="4"/>
        <v>0.5</v>
      </c>
      <c r="T29" s="117">
        <f t="shared" si="4"/>
        <v>0.5</v>
      </c>
      <c r="U29" s="117">
        <f>U31</f>
        <v>1.5</v>
      </c>
    </row>
    <row r="30" spans="1:21" ht="13.5" customHeight="1" hidden="1">
      <c r="A30" s="88" t="s">
        <v>108</v>
      </c>
      <c r="B30" s="39">
        <v>244</v>
      </c>
      <c r="C30" s="40" t="s">
        <v>109</v>
      </c>
      <c r="D30" s="41"/>
      <c r="E30" s="109">
        <f t="shared" si="2"/>
        <v>0</v>
      </c>
      <c r="F30" s="117"/>
      <c r="G30" s="117"/>
      <c r="H30" s="117"/>
      <c r="I30" s="109">
        <f>F30+G30+H30</f>
        <v>0</v>
      </c>
      <c r="J30" s="133"/>
      <c r="K30" s="133"/>
      <c r="L30" s="133"/>
      <c r="M30" s="109">
        <f>J30+K30+L30</f>
        <v>0</v>
      </c>
      <c r="N30" s="133"/>
      <c r="O30" s="133"/>
      <c r="P30" s="133"/>
      <c r="Q30" s="109">
        <f>N30+O30+P30</f>
        <v>0</v>
      </c>
      <c r="R30" s="117"/>
      <c r="S30" s="117"/>
      <c r="T30" s="117"/>
      <c r="U30" s="109">
        <f>R30+S30+T30</f>
        <v>0</v>
      </c>
    </row>
    <row r="31" spans="1:21" ht="21" customHeight="1">
      <c r="A31" s="88" t="s">
        <v>146</v>
      </c>
      <c r="B31" s="39">
        <v>244</v>
      </c>
      <c r="C31" s="40" t="s">
        <v>111</v>
      </c>
      <c r="D31" s="41"/>
      <c r="E31" s="109">
        <f t="shared" si="2"/>
        <v>1.5</v>
      </c>
      <c r="F31" s="117">
        <v>0</v>
      </c>
      <c r="G31" s="117">
        <v>0</v>
      </c>
      <c r="H31" s="117">
        <f>2-1.7-0.3</f>
        <v>0</v>
      </c>
      <c r="I31" s="109">
        <f>F31+G31+H31</f>
        <v>0</v>
      </c>
      <c r="J31" s="133"/>
      <c r="K31" s="133"/>
      <c r="L31" s="133">
        <f>1-1</f>
        <v>0</v>
      </c>
      <c r="M31" s="109">
        <f>J31+K31+L31</f>
        <v>0</v>
      </c>
      <c r="N31" s="133"/>
      <c r="O31" s="133"/>
      <c r="P31" s="133">
        <f>1-0.8-0.2</f>
        <v>0</v>
      </c>
      <c r="Q31" s="109">
        <f>N31+O31+P31</f>
        <v>0</v>
      </c>
      <c r="R31" s="117">
        <f>1-0.5</f>
        <v>0.5</v>
      </c>
      <c r="S31" s="117">
        <f>1-0.5</f>
        <v>0.5</v>
      </c>
      <c r="T31" s="117">
        <f>1-0.5</f>
        <v>0.5</v>
      </c>
      <c r="U31" s="109">
        <f>R31+S31+T31</f>
        <v>1.5</v>
      </c>
    </row>
    <row r="32" spans="1:21" ht="24.75" customHeight="1" hidden="1">
      <c r="A32" s="89" t="s">
        <v>126</v>
      </c>
      <c r="B32" s="42">
        <v>100</v>
      </c>
      <c r="C32" s="43"/>
      <c r="D32" s="44"/>
      <c r="E32" s="116">
        <f t="shared" si="2"/>
        <v>0</v>
      </c>
      <c r="F32" s="116">
        <f>F33</f>
        <v>0</v>
      </c>
      <c r="G32" s="116">
        <f>G33</f>
        <v>0</v>
      </c>
      <c r="H32" s="116">
        <f>H33</f>
        <v>0</v>
      </c>
      <c r="I32" s="116">
        <f>SUM(F32:H32)</f>
        <v>0</v>
      </c>
      <c r="J32" s="158">
        <f>J33</f>
        <v>0</v>
      </c>
      <c r="K32" s="158">
        <f>K33</f>
        <v>0</v>
      </c>
      <c r="L32" s="158">
        <f>L33</f>
        <v>0</v>
      </c>
      <c r="M32" s="116">
        <f>SUM(J32:L32)</f>
        <v>0</v>
      </c>
      <c r="N32" s="158">
        <f>N33</f>
        <v>0</v>
      </c>
      <c r="O32" s="158">
        <f>O33</f>
        <v>0</v>
      </c>
      <c r="P32" s="158">
        <f>P33</f>
        <v>0</v>
      </c>
      <c r="Q32" s="116">
        <f>Q34+Q36</f>
        <v>0</v>
      </c>
      <c r="R32" s="116">
        <f>R33</f>
        <v>0</v>
      </c>
      <c r="S32" s="116">
        <f>S33</f>
        <v>0</v>
      </c>
      <c r="T32" s="116">
        <f>T33</f>
        <v>0</v>
      </c>
      <c r="U32" s="116">
        <f>U34+U36</f>
        <v>0</v>
      </c>
    </row>
    <row r="33" spans="1:21" ht="11.25" customHeight="1" hidden="1">
      <c r="A33" s="88" t="s">
        <v>112</v>
      </c>
      <c r="B33" s="39">
        <v>120</v>
      </c>
      <c r="C33" s="40" t="s">
        <v>113</v>
      </c>
      <c r="D33" s="41"/>
      <c r="E33" s="109">
        <f>E34+E36</f>
        <v>0</v>
      </c>
      <c r="F33" s="117">
        <f>SUM(F34:F36)</f>
        <v>0</v>
      </c>
      <c r="G33" s="117">
        <f>SUM(G34:G36)</f>
        <v>0</v>
      </c>
      <c r="H33" s="117">
        <f>SUM(H34:H36)</f>
        <v>0</v>
      </c>
      <c r="I33" s="109">
        <f>SUM(F33:H33)</f>
        <v>0</v>
      </c>
      <c r="J33" s="133">
        <f>J34+J36</f>
        <v>0</v>
      </c>
      <c r="K33" s="133">
        <f>K34+K36</f>
        <v>0</v>
      </c>
      <c r="L33" s="133">
        <f>L34+L36</f>
        <v>0</v>
      </c>
      <c r="M33" s="109">
        <f aca="true" t="shared" si="5" ref="M33:U33">SUM(M34:M36)</f>
        <v>0</v>
      </c>
      <c r="N33" s="133">
        <f t="shared" si="5"/>
        <v>0</v>
      </c>
      <c r="O33" s="133">
        <f t="shared" si="5"/>
        <v>0</v>
      </c>
      <c r="P33" s="133">
        <f t="shared" si="5"/>
        <v>0</v>
      </c>
      <c r="Q33" s="109">
        <f t="shared" si="5"/>
        <v>0</v>
      </c>
      <c r="R33" s="117">
        <f t="shared" si="5"/>
        <v>0</v>
      </c>
      <c r="S33" s="117">
        <f t="shared" si="5"/>
        <v>0</v>
      </c>
      <c r="T33" s="117">
        <f t="shared" si="5"/>
        <v>0</v>
      </c>
      <c r="U33" s="109">
        <f t="shared" si="5"/>
        <v>0</v>
      </c>
    </row>
    <row r="34" spans="1:21" ht="12.75" hidden="1">
      <c r="A34" s="88" t="s">
        <v>90</v>
      </c>
      <c r="B34" s="39">
        <v>121</v>
      </c>
      <c r="C34" s="40" t="s">
        <v>91</v>
      </c>
      <c r="D34" s="41"/>
      <c r="E34" s="109">
        <f>I34+M34+Q34+U34</f>
        <v>0</v>
      </c>
      <c r="F34" s="117"/>
      <c r="G34" s="117"/>
      <c r="H34" s="117"/>
      <c r="I34" s="109">
        <f>SUM(F34:H34)</f>
        <v>0</v>
      </c>
      <c r="J34" s="133"/>
      <c r="K34" s="133"/>
      <c r="L34" s="133"/>
      <c r="M34" s="109">
        <f>SUM(J34:L34)</f>
        <v>0</v>
      </c>
      <c r="N34" s="133"/>
      <c r="O34" s="133"/>
      <c r="P34" s="133"/>
      <c r="Q34" s="109">
        <f>SUM(N34:P34)</f>
        <v>0</v>
      </c>
      <c r="R34" s="117"/>
      <c r="S34" s="117"/>
      <c r="T34" s="117"/>
      <c r="U34" s="109">
        <f>SUM(R34:T34)</f>
        <v>0</v>
      </c>
    </row>
    <row r="35" spans="1:21" ht="12.75" hidden="1">
      <c r="A35" s="88" t="s">
        <v>92</v>
      </c>
      <c r="B35" s="39"/>
      <c r="C35" s="40" t="s">
        <v>93</v>
      </c>
      <c r="D35" s="41"/>
      <c r="E35" s="109"/>
      <c r="F35" s="117"/>
      <c r="G35" s="117"/>
      <c r="H35" s="117"/>
      <c r="I35" s="109"/>
      <c r="J35" s="133"/>
      <c r="K35" s="133"/>
      <c r="L35" s="133"/>
      <c r="M35" s="109"/>
      <c r="N35" s="133"/>
      <c r="O35" s="133"/>
      <c r="P35" s="133"/>
      <c r="Q35" s="109"/>
      <c r="R35" s="117"/>
      <c r="S35" s="117"/>
      <c r="T35" s="117"/>
      <c r="U35" s="109"/>
    </row>
    <row r="36" spans="1:21" ht="12.75" customHeight="1" hidden="1">
      <c r="A36" s="88" t="s">
        <v>94</v>
      </c>
      <c r="B36" s="39">
        <v>121</v>
      </c>
      <c r="C36" s="40" t="s">
        <v>95</v>
      </c>
      <c r="D36" s="41"/>
      <c r="E36" s="109">
        <f>I36+M36+Q36+U36</f>
        <v>0</v>
      </c>
      <c r="F36" s="117"/>
      <c r="G36" s="117"/>
      <c r="H36" s="117"/>
      <c r="I36" s="109">
        <f>SUM(F36:H36)</f>
        <v>0</v>
      </c>
      <c r="J36" s="133"/>
      <c r="K36" s="133"/>
      <c r="L36" s="133"/>
      <c r="M36" s="109">
        <f aca="true" t="shared" si="6" ref="M36:M42">SUM(J36:L36)</f>
        <v>0</v>
      </c>
      <c r="N36" s="133"/>
      <c r="O36" s="133"/>
      <c r="P36" s="133"/>
      <c r="Q36" s="109">
        <f>SUM(N36:P36)</f>
        <v>0</v>
      </c>
      <c r="R36" s="117"/>
      <c r="S36" s="117"/>
      <c r="T36" s="117"/>
      <c r="U36" s="109">
        <f aca="true" t="shared" si="7" ref="U36:U42">SUM(R36:T36)</f>
        <v>0</v>
      </c>
    </row>
    <row r="37" spans="1:21" ht="12.75" customHeight="1">
      <c r="A37" s="89" t="s">
        <v>144</v>
      </c>
      <c r="B37" s="42"/>
      <c r="C37" s="43"/>
      <c r="D37" s="44"/>
      <c r="E37" s="116">
        <f>I37+M37+Q37+U37</f>
        <v>212.3</v>
      </c>
      <c r="F37" s="116">
        <f>F38+F43+F42</f>
        <v>3.44086</v>
      </c>
      <c r="G37" s="116">
        <f>G38+G43+G42</f>
        <v>19.27581</v>
      </c>
      <c r="H37" s="116">
        <f>H38+H43+H42</f>
        <v>17.94694</v>
      </c>
      <c r="I37" s="116">
        <f>SUM(F37:H37)</f>
        <v>40.663610000000006</v>
      </c>
      <c r="J37" s="158">
        <f>J38+J43+J42</f>
        <v>19.003909999999998</v>
      </c>
      <c r="K37" s="158">
        <f>K38+K43+K42</f>
        <v>17.32389</v>
      </c>
      <c r="L37" s="158">
        <f>L38+L43+L42</f>
        <v>28.647759999999998</v>
      </c>
      <c r="M37" s="116">
        <f t="shared" si="6"/>
        <v>64.97556</v>
      </c>
      <c r="N37" s="158">
        <f>N38+N43+N42</f>
        <v>8.38583</v>
      </c>
      <c r="O37" s="158">
        <f>O38+O43+O42</f>
        <v>11.37077</v>
      </c>
      <c r="P37" s="158">
        <f>P38+P43+P42</f>
        <v>24.11302</v>
      </c>
      <c r="Q37" s="116">
        <f>SUM(N37:P37)</f>
        <v>43.86962</v>
      </c>
      <c r="R37" s="116">
        <f>R38+R43+R42</f>
        <v>26.638180000000002</v>
      </c>
      <c r="S37" s="116">
        <f>S38+S43+S42</f>
        <v>16.07</v>
      </c>
      <c r="T37" s="116">
        <f>T38+T43+T42</f>
        <v>20.08303</v>
      </c>
      <c r="U37" s="116">
        <f t="shared" si="7"/>
        <v>62.79121</v>
      </c>
    </row>
    <row r="38" spans="1:21" ht="24.75" customHeight="1">
      <c r="A38" s="88" t="s">
        <v>112</v>
      </c>
      <c r="B38" s="39">
        <v>120</v>
      </c>
      <c r="C38" s="40" t="s">
        <v>113</v>
      </c>
      <c r="D38" s="41"/>
      <c r="E38" s="109">
        <f>E39+E41+E40</f>
        <v>209.3</v>
      </c>
      <c r="F38" s="117">
        <f>SUM(F39:F41)</f>
        <v>3.44086</v>
      </c>
      <c r="G38" s="117">
        <f>SUM(G39:G41)</f>
        <v>19.27581</v>
      </c>
      <c r="H38" s="117">
        <f>SUM(H39:H41)</f>
        <v>17.94694</v>
      </c>
      <c r="I38" s="109">
        <f>SUM(F38:H38)</f>
        <v>40.663610000000006</v>
      </c>
      <c r="J38" s="133">
        <f>J39+J41+J40</f>
        <v>17.323909999999998</v>
      </c>
      <c r="K38" s="133">
        <f>K39+K40+K41</f>
        <v>17.32389</v>
      </c>
      <c r="L38" s="133">
        <f>L39+L41+L40</f>
        <v>28.647759999999998</v>
      </c>
      <c r="M38" s="109">
        <f t="shared" si="6"/>
        <v>63.295559999999995</v>
      </c>
      <c r="N38" s="133">
        <f>N39+N40+N41</f>
        <v>8.38583</v>
      </c>
      <c r="O38" s="133">
        <f>O39+O40+O41</f>
        <v>11.37077</v>
      </c>
      <c r="P38" s="133">
        <f>P39+P40+P41</f>
        <v>24.11302</v>
      </c>
      <c r="Q38" s="109">
        <f>N38+O38+P38</f>
        <v>43.86962</v>
      </c>
      <c r="R38" s="117">
        <f>R39+R40+R41</f>
        <v>25.31818</v>
      </c>
      <c r="S38" s="117">
        <f>S39+S40+S41</f>
        <v>16.07</v>
      </c>
      <c r="T38" s="117">
        <f>T39+T40+T41</f>
        <v>20.08303</v>
      </c>
      <c r="U38" s="109">
        <f t="shared" si="7"/>
        <v>61.471210000000006</v>
      </c>
    </row>
    <row r="39" spans="1:21" ht="12.75">
      <c r="A39" s="88" t="s">
        <v>90</v>
      </c>
      <c r="B39" s="39">
        <v>121</v>
      </c>
      <c r="C39" s="40" t="s">
        <v>91</v>
      </c>
      <c r="D39" s="41"/>
      <c r="E39" s="109">
        <f aca="true" t="shared" si="8" ref="E39:E49">I39+M39+Q39+U39</f>
        <v>160.75</v>
      </c>
      <c r="F39" s="117">
        <v>3.44086</v>
      </c>
      <c r="G39" s="117">
        <v>15.69086</v>
      </c>
      <c r="H39" s="117">
        <f>13.01828+0.77133</f>
        <v>13.789610000000001</v>
      </c>
      <c r="I39" s="109">
        <f>SUM(F39:H39)</f>
        <v>32.921330000000005</v>
      </c>
      <c r="J39" s="133">
        <v>13.3056</v>
      </c>
      <c r="K39" s="133">
        <v>13.3056</v>
      </c>
      <c r="L39" s="133">
        <f>13.4-0.59253+7.80373</f>
        <v>20.6112</v>
      </c>
      <c r="M39" s="109">
        <f t="shared" si="6"/>
        <v>47.2224</v>
      </c>
      <c r="N39" s="133">
        <v>8.38582</v>
      </c>
      <c r="O39" s="133">
        <v>4.125</v>
      </c>
      <c r="P39" s="133">
        <v>11.3056</v>
      </c>
      <c r="Q39" s="109">
        <f>SUM(N39:P39)</f>
        <v>23.81642</v>
      </c>
      <c r="R39" s="117">
        <f>16.07-2.79955+11.3694</f>
        <v>24.639850000000003</v>
      </c>
      <c r="S39" s="117">
        <v>16.07</v>
      </c>
      <c r="T39" s="117">
        <v>16.08</v>
      </c>
      <c r="U39" s="109">
        <f t="shared" si="7"/>
        <v>56.78985</v>
      </c>
    </row>
    <row r="40" spans="1:21" ht="12.75">
      <c r="A40" s="88" t="s">
        <v>92</v>
      </c>
      <c r="B40" s="39"/>
      <c r="C40" s="40" t="s">
        <v>93</v>
      </c>
      <c r="D40" s="41"/>
      <c r="E40" s="109">
        <f t="shared" si="8"/>
        <v>0</v>
      </c>
      <c r="F40" s="117"/>
      <c r="G40" s="117"/>
      <c r="H40" s="117"/>
      <c r="I40" s="109">
        <f>SUM(F40:H40)</f>
        <v>0</v>
      </c>
      <c r="J40" s="133"/>
      <c r="K40" s="133"/>
      <c r="L40" s="133"/>
      <c r="M40" s="109">
        <f t="shared" si="6"/>
        <v>0</v>
      </c>
      <c r="N40" s="133"/>
      <c r="O40" s="133"/>
      <c r="P40" s="133"/>
      <c r="Q40" s="109">
        <f>SUM(N40:P40)</f>
        <v>0</v>
      </c>
      <c r="R40" s="117"/>
      <c r="S40" s="117"/>
      <c r="T40" s="117"/>
      <c r="U40" s="109">
        <f t="shared" si="7"/>
        <v>0</v>
      </c>
    </row>
    <row r="41" spans="1:21" ht="12.75" customHeight="1">
      <c r="A41" s="88" t="s">
        <v>94</v>
      </c>
      <c r="B41" s="39">
        <v>121</v>
      </c>
      <c r="C41" s="40" t="s">
        <v>95</v>
      </c>
      <c r="D41" s="41"/>
      <c r="E41" s="109">
        <f t="shared" si="8"/>
        <v>48.55</v>
      </c>
      <c r="F41" s="117">
        <v>0</v>
      </c>
      <c r="G41" s="117">
        <v>3.58495</v>
      </c>
      <c r="H41" s="117">
        <f>6.12505-1.96772</f>
        <v>4.15733</v>
      </c>
      <c r="I41" s="109">
        <f>F41+G41+H41</f>
        <v>7.74228</v>
      </c>
      <c r="J41" s="133">
        <v>4.01831</v>
      </c>
      <c r="K41" s="133">
        <v>4.01829</v>
      </c>
      <c r="L41" s="133">
        <f>4.05+2.02112+1.96544</f>
        <v>8.03656</v>
      </c>
      <c r="M41" s="109">
        <f t="shared" si="6"/>
        <v>16.07316</v>
      </c>
      <c r="N41" s="133">
        <v>1E-05</v>
      </c>
      <c r="O41" s="133">
        <v>7.24577</v>
      </c>
      <c r="P41" s="133">
        <v>12.80742</v>
      </c>
      <c r="Q41" s="109">
        <f>SUM(N41:P41)</f>
        <v>20.0532</v>
      </c>
      <c r="R41" s="117">
        <f>4.85+2.07455-6.24622</f>
        <v>0.6783299999999999</v>
      </c>
      <c r="S41" s="117">
        <f>4.85-4.85</f>
        <v>0</v>
      </c>
      <c r="T41" s="117">
        <f>4.86-0.85697</f>
        <v>4.003030000000001</v>
      </c>
      <c r="U41" s="109">
        <f t="shared" si="7"/>
        <v>4.681360000000001</v>
      </c>
    </row>
    <row r="42" spans="1:21" ht="12.75" customHeight="1">
      <c r="A42" s="88" t="s">
        <v>147</v>
      </c>
      <c r="B42" s="39">
        <v>244</v>
      </c>
      <c r="C42" s="40" t="s">
        <v>105</v>
      </c>
      <c r="D42" s="41"/>
      <c r="E42" s="109">
        <f t="shared" si="8"/>
        <v>1.68</v>
      </c>
      <c r="F42" s="117"/>
      <c r="G42" s="117"/>
      <c r="H42" s="117"/>
      <c r="I42" s="109">
        <f>F42+G42+H42</f>
        <v>0</v>
      </c>
      <c r="J42" s="133">
        <v>1.68</v>
      </c>
      <c r="K42" s="133"/>
      <c r="L42" s="133"/>
      <c r="M42" s="109">
        <f t="shared" si="6"/>
        <v>1.68</v>
      </c>
      <c r="N42" s="133"/>
      <c r="O42" s="133"/>
      <c r="P42" s="133"/>
      <c r="Q42" s="109">
        <f>SUM(N42:P42)</f>
        <v>0</v>
      </c>
      <c r="R42" s="117"/>
      <c r="S42" s="117"/>
      <c r="T42" s="117"/>
      <c r="U42" s="109">
        <f t="shared" si="7"/>
        <v>0</v>
      </c>
    </row>
    <row r="43" spans="1:21" ht="23.25" customHeight="1">
      <c r="A43" s="88" t="s">
        <v>146</v>
      </c>
      <c r="B43" s="39">
        <v>244</v>
      </c>
      <c r="C43" s="40" t="s">
        <v>111</v>
      </c>
      <c r="D43" s="41"/>
      <c r="E43" s="109">
        <f t="shared" si="8"/>
        <v>1.32</v>
      </c>
      <c r="F43" s="117">
        <v>0</v>
      </c>
      <c r="G43" s="117">
        <v>0</v>
      </c>
      <c r="H43" s="117">
        <v>0</v>
      </c>
      <c r="I43" s="109">
        <f>F43+G43+H43</f>
        <v>0</v>
      </c>
      <c r="J43" s="133">
        <v>0</v>
      </c>
      <c r="K43" s="133">
        <v>0</v>
      </c>
      <c r="L43" s="133">
        <v>0</v>
      </c>
      <c r="M43" s="109">
        <f>J43+K43+L43</f>
        <v>0</v>
      </c>
      <c r="N43" s="133"/>
      <c r="O43" s="133"/>
      <c r="P43" s="133"/>
      <c r="Q43" s="109">
        <f>N43+O43+P43</f>
        <v>0</v>
      </c>
      <c r="R43" s="117">
        <f>1+0.32</f>
        <v>1.32</v>
      </c>
      <c r="S43" s="117">
        <v>0</v>
      </c>
      <c r="T43" s="117">
        <v>0</v>
      </c>
      <c r="U43" s="109">
        <f>R43+S43+T43</f>
        <v>1.32</v>
      </c>
    </row>
    <row r="44" spans="1:21" ht="12.75" customHeight="1">
      <c r="A44" s="89" t="s">
        <v>127</v>
      </c>
      <c r="B44" s="42">
        <v>800</v>
      </c>
      <c r="C44" s="43"/>
      <c r="D44" s="44"/>
      <c r="E44" s="116">
        <f t="shared" si="8"/>
        <v>250</v>
      </c>
      <c r="F44" s="116">
        <f>F45</f>
        <v>0</v>
      </c>
      <c r="G44" s="116">
        <f>G45</f>
        <v>0</v>
      </c>
      <c r="H44" s="116">
        <f>H45</f>
        <v>0</v>
      </c>
      <c r="I44" s="116">
        <f>SUM(F44:H44)</f>
        <v>0</v>
      </c>
      <c r="J44" s="158">
        <f>J45</f>
        <v>0</v>
      </c>
      <c r="K44" s="158">
        <f>K45</f>
        <v>0</v>
      </c>
      <c r="L44" s="158">
        <f>L45</f>
        <v>0</v>
      </c>
      <c r="M44" s="116">
        <f>SUM(J44:L44)</f>
        <v>0</v>
      </c>
      <c r="N44" s="158">
        <f>N45</f>
        <v>0</v>
      </c>
      <c r="O44" s="158">
        <f>O45</f>
        <v>0</v>
      </c>
      <c r="P44" s="158">
        <f>P45</f>
        <v>0</v>
      </c>
      <c r="Q44" s="116">
        <f>SUM(N44:P44)</f>
        <v>0</v>
      </c>
      <c r="R44" s="116">
        <f>R45</f>
        <v>0</v>
      </c>
      <c r="S44" s="116">
        <f>S45</f>
        <v>0</v>
      </c>
      <c r="T44" s="116">
        <f>T45</f>
        <v>250</v>
      </c>
      <c r="U44" s="116">
        <f>SUM(R44:T44)</f>
        <v>250</v>
      </c>
    </row>
    <row r="45" spans="1:21" ht="12.75">
      <c r="A45" s="88" t="s">
        <v>104</v>
      </c>
      <c r="B45" s="39">
        <v>870</v>
      </c>
      <c r="C45" s="40" t="s">
        <v>107</v>
      </c>
      <c r="D45" s="41"/>
      <c r="E45" s="109">
        <f t="shared" si="8"/>
        <v>250</v>
      </c>
      <c r="F45" s="117">
        <v>0</v>
      </c>
      <c r="G45" s="117">
        <v>0</v>
      </c>
      <c r="H45" s="117">
        <v>0</v>
      </c>
      <c r="I45" s="109">
        <f>SUM(F45:H45)</f>
        <v>0</v>
      </c>
      <c r="J45" s="133">
        <v>0</v>
      </c>
      <c r="K45" s="133">
        <v>0</v>
      </c>
      <c r="L45" s="133">
        <v>0</v>
      </c>
      <c r="M45" s="109">
        <f>SUM(J45:L45)</f>
        <v>0</v>
      </c>
      <c r="N45" s="133">
        <v>0</v>
      </c>
      <c r="O45" s="133">
        <v>0</v>
      </c>
      <c r="P45" s="133">
        <v>0</v>
      </c>
      <c r="Q45" s="109">
        <f>SUM(N45:P45)</f>
        <v>0</v>
      </c>
      <c r="R45" s="117">
        <v>0</v>
      </c>
      <c r="S45" s="117">
        <v>0</v>
      </c>
      <c r="T45" s="117">
        <f>300-50</f>
        <v>250</v>
      </c>
      <c r="U45" s="109">
        <f>SUM(R45:T45)</f>
        <v>250</v>
      </c>
    </row>
    <row r="46" spans="1:21" ht="54.75" customHeight="1">
      <c r="A46" s="89" t="s">
        <v>271</v>
      </c>
      <c r="B46" s="42">
        <v>200</v>
      </c>
      <c r="C46" s="43"/>
      <c r="D46" s="44"/>
      <c r="E46" s="116">
        <f t="shared" si="8"/>
        <v>100</v>
      </c>
      <c r="F46" s="116">
        <f aca="true" t="shared" si="9" ref="F46:H47">F47</f>
        <v>0</v>
      </c>
      <c r="G46" s="116">
        <f t="shared" si="9"/>
        <v>0</v>
      </c>
      <c r="H46" s="116">
        <f t="shared" si="9"/>
        <v>49</v>
      </c>
      <c r="I46" s="116">
        <f>F46+G46+H46</f>
        <v>49</v>
      </c>
      <c r="J46" s="158">
        <f aca="true" t="shared" si="10" ref="J46:L47">J47</f>
        <v>0</v>
      </c>
      <c r="K46" s="158">
        <f t="shared" si="10"/>
        <v>0</v>
      </c>
      <c r="L46" s="158">
        <f t="shared" si="10"/>
        <v>0</v>
      </c>
      <c r="M46" s="116">
        <f>J46+K46+L46</f>
        <v>0</v>
      </c>
      <c r="N46" s="158">
        <f aca="true" t="shared" si="11" ref="N46:P47">N47</f>
        <v>3.5</v>
      </c>
      <c r="O46" s="158">
        <f t="shared" si="11"/>
        <v>0</v>
      </c>
      <c r="P46" s="158">
        <f t="shared" si="11"/>
        <v>0</v>
      </c>
      <c r="Q46" s="116">
        <f>N46+O46+P46</f>
        <v>3.5</v>
      </c>
      <c r="R46" s="116">
        <f aca="true" t="shared" si="12" ref="R46:T47">R47</f>
        <v>47.5</v>
      </c>
      <c r="S46" s="116">
        <f t="shared" si="12"/>
        <v>0</v>
      </c>
      <c r="T46" s="116">
        <f t="shared" si="12"/>
        <v>0</v>
      </c>
      <c r="U46" s="116">
        <f>R46+S46+T46</f>
        <v>47.5</v>
      </c>
    </row>
    <row r="47" spans="1:21" ht="86.25" customHeight="1">
      <c r="A47" s="90" t="s">
        <v>168</v>
      </c>
      <c r="B47" s="45">
        <v>240</v>
      </c>
      <c r="C47" s="46"/>
      <c r="D47" s="47"/>
      <c r="E47" s="118">
        <f t="shared" si="8"/>
        <v>100</v>
      </c>
      <c r="F47" s="118">
        <f t="shared" si="9"/>
        <v>0</v>
      </c>
      <c r="G47" s="118">
        <f t="shared" si="9"/>
        <v>0</v>
      </c>
      <c r="H47" s="118">
        <f t="shared" si="9"/>
        <v>49</v>
      </c>
      <c r="I47" s="118">
        <f>SUM(F47:H47)</f>
        <v>49</v>
      </c>
      <c r="J47" s="134">
        <f t="shared" si="10"/>
        <v>0</v>
      </c>
      <c r="K47" s="134">
        <f t="shared" si="10"/>
        <v>0</v>
      </c>
      <c r="L47" s="134">
        <f t="shared" si="10"/>
        <v>0</v>
      </c>
      <c r="M47" s="118">
        <f>SUM(J47:L47)</f>
        <v>0</v>
      </c>
      <c r="N47" s="134">
        <f t="shared" si="11"/>
        <v>3.5</v>
      </c>
      <c r="O47" s="134">
        <f t="shared" si="11"/>
        <v>0</v>
      </c>
      <c r="P47" s="134">
        <f t="shared" si="11"/>
        <v>0</v>
      </c>
      <c r="Q47" s="118">
        <f>SUM(N47:P47)</f>
        <v>3.5</v>
      </c>
      <c r="R47" s="118">
        <f t="shared" si="12"/>
        <v>47.5</v>
      </c>
      <c r="S47" s="118">
        <f t="shared" si="12"/>
        <v>0</v>
      </c>
      <c r="T47" s="118">
        <f t="shared" si="12"/>
        <v>0</v>
      </c>
      <c r="U47" s="118">
        <f>SUM(R47:T47)</f>
        <v>47.5</v>
      </c>
    </row>
    <row r="48" spans="1:21" ht="12.75">
      <c r="A48" s="88" t="s">
        <v>147</v>
      </c>
      <c r="B48" s="39">
        <v>244</v>
      </c>
      <c r="C48" s="40" t="s">
        <v>105</v>
      </c>
      <c r="D48" s="41"/>
      <c r="E48" s="109">
        <f t="shared" si="8"/>
        <v>100</v>
      </c>
      <c r="F48" s="117">
        <v>0</v>
      </c>
      <c r="G48" s="117">
        <v>0</v>
      </c>
      <c r="H48" s="117">
        <f>100-51</f>
        <v>49</v>
      </c>
      <c r="I48" s="109">
        <f>SUM(F48:H48)</f>
        <v>49</v>
      </c>
      <c r="J48" s="133"/>
      <c r="K48" s="133"/>
      <c r="L48" s="133">
        <f>51-51</f>
        <v>0</v>
      </c>
      <c r="M48" s="109">
        <f>SUM(J48:L48)</f>
        <v>0</v>
      </c>
      <c r="N48" s="133">
        <v>3.5</v>
      </c>
      <c r="O48" s="133">
        <v>0</v>
      </c>
      <c r="P48" s="133">
        <v>0</v>
      </c>
      <c r="Q48" s="109">
        <f>SUM(N48:P48)</f>
        <v>3.5</v>
      </c>
      <c r="R48" s="117">
        <v>47.5</v>
      </c>
      <c r="S48" s="117">
        <v>0</v>
      </c>
      <c r="T48" s="117">
        <v>0</v>
      </c>
      <c r="U48" s="109">
        <f>SUM(R48:T48)</f>
        <v>47.5</v>
      </c>
    </row>
    <row r="49" spans="1:21" ht="45" customHeight="1">
      <c r="A49" s="89" t="s">
        <v>272</v>
      </c>
      <c r="B49" s="42">
        <v>200</v>
      </c>
      <c r="C49" s="40"/>
      <c r="D49" s="41"/>
      <c r="E49" s="116">
        <f t="shared" si="8"/>
        <v>310</v>
      </c>
      <c r="F49" s="119">
        <f>F50+F52</f>
        <v>0</v>
      </c>
      <c r="G49" s="119">
        <f>G50+G52</f>
        <v>0</v>
      </c>
      <c r="H49" s="119">
        <f>H50+H52</f>
        <v>0</v>
      </c>
      <c r="I49" s="116">
        <f>F49+G49+H49</f>
        <v>0</v>
      </c>
      <c r="J49" s="161">
        <f>J50+J52</f>
        <v>0</v>
      </c>
      <c r="K49" s="161">
        <f>K50+K52</f>
        <v>0</v>
      </c>
      <c r="L49" s="161">
        <f>L50+L52</f>
        <v>88</v>
      </c>
      <c r="M49" s="116">
        <f>J49+K49+L49</f>
        <v>88</v>
      </c>
      <c r="N49" s="161">
        <f>N50+N52</f>
        <v>99</v>
      </c>
      <c r="O49" s="161">
        <f>O50+O52</f>
        <v>0</v>
      </c>
      <c r="P49" s="161">
        <f>P50+P52</f>
        <v>0</v>
      </c>
      <c r="Q49" s="116">
        <f>N49+O49+P49</f>
        <v>99</v>
      </c>
      <c r="R49" s="119">
        <f>R50+R52</f>
        <v>123</v>
      </c>
      <c r="S49" s="119">
        <f>S50+S52</f>
        <v>0</v>
      </c>
      <c r="T49" s="119">
        <f>T50+T52</f>
        <v>0</v>
      </c>
      <c r="U49" s="116">
        <f>SUM(R49:T49)</f>
        <v>123</v>
      </c>
    </row>
    <row r="50" spans="1:21" ht="45" customHeight="1">
      <c r="A50" s="90" t="s">
        <v>169</v>
      </c>
      <c r="B50" s="39">
        <v>240</v>
      </c>
      <c r="C50" s="40"/>
      <c r="D50" s="41"/>
      <c r="E50" s="118">
        <f aca="true" t="shared" si="13" ref="E50:E56">I50+M50+Q50+U50</f>
        <v>40</v>
      </c>
      <c r="F50" s="118">
        <f>F51</f>
        <v>0</v>
      </c>
      <c r="G50" s="118">
        <f>G51</f>
        <v>0</v>
      </c>
      <c r="H50" s="118">
        <f>H51</f>
        <v>0</v>
      </c>
      <c r="I50" s="118">
        <f aca="true" t="shared" si="14" ref="I50:I57">SUM(F50:H50)</f>
        <v>0</v>
      </c>
      <c r="J50" s="134">
        <f>J51</f>
        <v>0</v>
      </c>
      <c r="K50" s="134">
        <f>K51</f>
        <v>0</v>
      </c>
      <c r="L50" s="134">
        <f>L51</f>
        <v>0</v>
      </c>
      <c r="M50" s="118">
        <f aca="true" t="shared" si="15" ref="M50:M57">SUM(J50:L50)</f>
        <v>0</v>
      </c>
      <c r="N50" s="134">
        <f>N51</f>
        <v>0</v>
      </c>
      <c r="O50" s="134">
        <f>O51</f>
        <v>0</v>
      </c>
      <c r="P50" s="134">
        <f>P51</f>
        <v>0</v>
      </c>
      <c r="Q50" s="118">
        <f aca="true" t="shared" si="16" ref="Q50:Q57">SUM(N50:P50)</f>
        <v>0</v>
      </c>
      <c r="R50" s="118">
        <f>R51</f>
        <v>40</v>
      </c>
      <c r="S50" s="118">
        <f>S51</f>
        <v>0</v>
      </c>
      <c r="T50" s="118">
        <f>T51</f>
        <v>0</v>
      </c>
      <c r="U50" s="109">
        <f>U51</f>
        <v>40</v>
      </c>
    </row>
    <row r="51" spans="1:21" ht="12" customHeight="1">
      <c r="A51" s="88" t="s">
        <v>147</v>
      </c>
      <c r="B51" s="39">
        <v>244</v>
      </c>
      <c r="C51" s="40" t="s">
        <v>105</v>
      </c>
      <c r="D51" s="41"/>
      <c r="E51" s="109">
        <f t="shared" si="13"/>
        <v>40</v>
      </c>
      <c r="F51" s="117">
        <v>0</v>
      </c>
      <c r="G51" s="117">
        <v>0</v>
      </c>
      <c r="H51" s="117">
        <v>0</v>
      </c>
      <c r="I51" s="109">
        <f t="shared" si="14"/>
        <v>0</v>
      </c>
      <c r="J51" s="133"/>
      <c r="K51" s="133"/>
      <c r="L51" s="133">
        <f>40-40</f>
        <v>0</v>
      </c>
      <c r="M51" s="109">
        <f t="shared" si="15"/>
        <v>0</v>
      </c>
      <c r="N51" s="133"/>
      <c r="O51" s="133"/>
      <c r="P51" s="133"/>
      <c r="Q51" s="109">
        <f t="shared" si="16"/>
        <v>0</v>
      </c>
      <c r="R51" s="117">
        <v>40</v>
      </c>
      <c r="S51" s="117">
        <v>0</v>
      </c>
      <c r="T51" s="117">
        <v>0</v>
      </c>
      <c r="U51" s="109">
        <f>SUM(R51:T51)</f>
        <v>40</v>
      </c>
    </row>
    <row r="52" spans="1:21" ht="39.75" customHeight="1">
      <c r="A52" s="90" t="s">
        <v>170</v>
      </c>
      <c r="B52" s="39">
        <v>240</v>
      </c>
      <c r="C52" s="40"/>
      <c r="D52" s="41"/>
      <c r="E52" s="118">
        <f>I52+M52+Q52+U52</f>
        <v>270</v>
      </c>
      <c r="F52" s="118">
        <f>F53</f>
        <v>0</v>
      </c>
      <c r="G52" s="118">
        <f>G53</f>
        <v>0</v>
      </c>
      <c r="H52" s="118">
        <f>H53</f>
        <v>0</v>
      </c>
      <c r="I52" s="118">
        <f t="shared" si="14"/>
        <v>0</v>
      </c>
      <c r="J52" s="134">
        <f>J53</f>
        <v>0</v>
      </c>
      <c r="K52" s="134">
        <f>K53</f>
        <v>0</v>
      </c>
      <c r="L52" s="134">
        <f>L53</f>
        <v>88</v>
      </c>
      <c r="M52" s="118">
        <f t="shared" si="15"/>
        <v>88</v>
      </c>
      <c r="N52" s="134">
        <f>N53</f>
        <v>99</v>
      </c>
      <c r="O52" s="134">
        <f>O53</f>
        <v>0</v>
      </c>
      <c r="P52" s="134">
        <f>P53</f>
        <v>0</v>
      </c>
      <c r="Q52" s="118">
        <f t="shared" si="16"/>
        <v>99</v>
      </c>
      <c r="R52" s="118">
        <f>R53</f>
        <v>83</v>
      </c>
      <c r="S52" s="118">
        <f>S53</f>
        <v>0</v>
      </c>
      <c r="T52" s="118">
        <f>T53</f>
        <v>0</v>
      </c>
      <c r="U52" s="109">
        <f>U53</f>
        <v>83</v>
      </c>
    </row>
    <row r="53" spans="1:21" ht="12.75">
      <c r="A53" s="88" t="s">
        <v>147</v>
      </c>
      <c r="B53" s="39">
        <v>244</v>
      </c>
      <c r="C53" s="40" t="s">
        <v>105</v>
      </c>
      <c r="D53" s="41"/>
      <c r="E53" s="109">
        <f t="shared" si="13"/>
        <v>270</v>
      </c>
      <c r="F53" s="117">
        <v>0</v>
      </c>
      <c r="G53" s="117">
        <v>0</v>
      </c>
      <c r="H53" s="117">
        <v>0</v>
      </c>
      <c r="I53" s="109">
        <f t="shared" si="14"/>
        <v>0</v>
      </c>
      <c r="J53" s="133"/>
      <c r="K53" s="133"/>
      <c r="L53" s="133">
        <f>270-182</f>
        <v>88</v>
      </c>
      <c r="M53" s="109">
        <f t="shared" si="15"/>
        <v>88</v>
      </c>
      <c r="N53" s="133">
        <v>99</v>
      </c>
      <c r="O53" s="133">
        <v>0</v>
      </c>
      <c r="P53" s="133">
        <v>0</v>
      </c>
      <c r="Q53" s="109">
        <f t="shared" si="16"/>
        <v>99</v>
      </c>
      <c r="R53" s="117">
        <v>83</v>
      </c>
      <c r="S53" s="117">
        <v>0</v>
      </c>
      <c r="T53" s="117">
        <v>0</v>
      </c>
      <c r="U53" s="109">
        <f aca="true" t="shared" si="17" ref="U53:U58">SUM(R53:T53)</f>
        <v>83</v>
      </c>
    </row>
    <row r="54" spans="1:21" ht="67.5" customHeight="1">
      <c r="A54" s="89" t="s">
        <v>192</v>
      </c>
      <c r="B54" s="50" t="s">
        <v>194</v>
      </c>
      <c r="C54" s="40"/>
      <c r="D54" s="41"/>
      <c r="E54" s="120">
        <f t="shared" si="13"/>
        <v>12844.214529999997</v>
      </c>
      <c r="F54" s="121">
        <f>F55+F59+F68+F70+F74+F76+F78+F80+F82</f>
        <v>422.9173</v>
      </c>
      <c r="G54" s="121">
        <f>G55+G59+G68+G70+G74+G76+G78+G80+G82</f>
        <v>952.2544499999999</v>
      </c>
      <c r="H54" s="121">
        <f>H55+H59+H68+H70+H74+H76+H78+H80+H82</f>
        <v>945.38085</v>
      </c>
      <c r="I54" s="120">
        <f t="shared" si="14"/>
        <v>2320.5526</v>
      </c>
      <c r="J54" s="160">
        <f>J55+J59+J68+J70+J74+J76+J78+J80+J82</f>
        <v>1391.85764</v>
      </c>
      <c r="K54" s="160">
        <f>K55+K59+K68+K70+K74+K76+K78+K80+K82</f>
        <v>936.6266100000001</v>
      </c>
      <c r="L54" s="160">
        <f>L55+L59+L68+L70+L74+L76+L78+L80+L82</f>
        <v>1720.5476599999997</v>
      </c>
      <c r="M54" s="120">
        <f t="shared" si="15"/>
        <v>4049.0319099999997</v>
      </c>
      <c r="N54" s="160">
        <f>N55+N59+N68+N70+N74+N76+N78+N80+N82</f>
        <v>600.3535499999999</v>
      </c>
      <c r="O54" s="160">
        <f>O55+O59+O68+O70+O74+O76+O78+O80+O82</f>
        <v>831.401</v>
      </c>
      <c r="P54" s="160">
        <f>P55+P59+P68+P70+P74+P76+P78+P80+P82</f>
        <v>1220.3119199999996</v>
      </c>
      <c r="Q54" s="120">
        <f t="shared" si="16"/>
        <v>2652.0664699999998</v>
      </c>
      <c r="R54" s="121">
        <f>R55+R59+R68+R70+R74+R76+R78+R80+R82</f>
        <v>1120.9448699999998</v>
      </c>
      <c r="S54" s="121">
        <f>S55+S59+S68+S70+S74+S76+S78+S80+S82</f>
        <v>1355.09634</v>
      </c>
      <c r="T54" s="121">
        <f>T55+T59+T68+T70+T74+T76+T78+T80+T82</f>
        <v>1346.5223400000002</v>
      </c>
      <c r="U54" s="120">
        <f t="shared" si="17"/>
        <v>3822.56355</v>
      </c>
    </row>
    <row r="55" spans="1:21" ht="51">
      <c r="A55" s="90" t="s">
        <v>193</v>
      </c>
      <c r="B55" s="45">
        <v>110</v>
      </c>
      <c r="C55" s="46" t="s">
        <v>113</v>
      </c>
      <c r="D55" s="47"/>
      <c r="E55" s="122">
        <f t="shared" si="13"/>
        <v>8568.949999999999</v>
      </c>
      <c r="F55" s="118">
        <f>F56+F58</f>
        <v>161.5</v>
      </c>
      <c r="G55" s="118">
        <f>G56+G58</f>
        <v>673.86205</v>
      </c>
      <c r="H55" s="118">
        <f>H56+H58</f>
        <v>695.2144499999999</v>
      </c>
      <c r="I55" s="122">
        <f t="shared" si="14"/>
        <v>1530.5765</v>
      </c>
      <c r="J55" s="134">
        <f>J56+J58</f>
        <v>821.15975</v>
      </c>
      <c r="K55" s="134">
        <f>K56+K58</f>
        <v>728.8347100000001</v>
      </c>
      <c r="L55" s="134">
        <f>L56+L58</f>
        <v>1272.99241</v>
      </c>
      <c r="M55" s="122">
        <f t="shared" si="15"/>
        <v>2822.98687</v>
      </c>
      <c r="N55" s="134">
        <f>N56+N58</f>
        <v>401.51774</v>
      </c>
      <c r="O55" s="134">
        <f>O56+O58</f>
        <v>625.13434</v>
      </c>
      <c r="P55" s="134">
        <f>P56+P58</f>
        <v>1013.1594399999999</v>
      </c>
      <c r="Q55" s="122">
        <f t="shared" si="16"/>
        <v>2039.8115199999997</v>
      </c>
      <c r="R55" s="118">
        <f>R56+R58+R57</f>
        <v>490.30510999999996</v>
      </c>
      <c r="S55" s="118">
        <f>S56+S58+S57</f>
        <v>842.6299999999999</v>
      </c>
      <c r="T55" s="118">
        <f>T56+T58+T57</f>
        <v>842.6400000000001</v>
      </c>
      <c r="U55" s="122">
        <f t="shared" si="17"/>
        <v>2175.5751099999998</v>
      </c>
    </row>
    <row r="56" spans="1:21" ht="12.75">
      <c r="A56" s="88" t="s">
        <v>90</v>
      </c>
      <c r="B56" s="39">
        <v>111</v>
      </c>
      <c r="C56" s="40" t="s">
        <v>91</v>
      </c>
      <c r="D56" s="41"/>
      <c r="E56" s="109">
        <f t="shared" si="13"/>
        <v>6581.36903</v>
      </c>
      <c r="F56" s="117">
        <v>161.5</v>
      </c>
      <c r="G56" s="117">
        <v>530.85428</v>
      </c>
      <c r="H56" s="117">
        <f>670.65572-142.03412</f>
        <v>528.6216</v>
      </c>
      <c r="I56" s="109">
        <f t="shared" si="14"/>
        <v>1220.97588</v>
      </c>
      <c r="J56" s="133">
        <v>654.43728</v>
      </c>
      <c r="K56" s="133">
        <v>559.85401</v>
      </c>
      <c r="L56" s="133">
        <f>543.45+14.63283+16.12903+355.20383</f>
        <v>929.41569</v>
      </c>
      <c r="M56" s="109">
        <f t="shared" si="15"/>
        <v>2143.70698</v>
      </c>
      <c r="N56" s="133">
        <v>394.69866</v>
      </c>
      <c r="O56" s="133">
        <v>435.93609</v>
      </c>
      <c r="P56" s="133">
        <v>719.26572</v>
      </c>
      <c r="Q56" s="109">
        <f t="shared" si="16"/>
        <v>1549.90047</v>
      </c>
      <c r="R56" s="117">
        <f>647.18-206.46249-68.30181</f>
        <v>372.41569999999996</v>
      </c>
      <c r="S56" s="117">
        <v>647.18</v>
      </c>
      <c r="T56" s="117">
        <v>647.19</v>
      </c>
      <c r="U56" s="109">
        <f t="shared" si="17"/>
        <v>1666.7857</v>
      </c>
    </row>
    <row r="57" spans="1:21" ht="12.75">
      <c r="A57" s="88" t="s">
        <v>92</v>
      </c>
      <c r="B57" s="39"/>
      <c r="C57" s="40" t="s">
        <v>93</v>
      </c>
      <c r="D57" s="41"/>
      <c r="E57" s="109">
        <f>U57</f>
        <v>0</v>
      </c>
      <c r="F57" s="117"/>
      <c r="G57" s="117"/>
      <c r="H57" s="117"/>
      <c r="I57" s="109">
        <f t="shared" si="14"/>
        <v>0</v>
      </c>
      <c r="J57" s="133"/>
      <c r="K57" s="133"/>
      <c r="L57" s="133"/>
      <c r="M57" s="109">
        <f t="shared" si="15"/>
        <v>0</v>
      </c>
      <c r="N57" s="133"/>
      <c r="O57" s="133"/>
      <c r="P57" s="133"/>
      <c r="Q57" s="109">
        <f t="shared" si="16"/>
        <v>0</v>
      </c>
      <c r="R57" s="117"/>
      <c r="S57" s="117"/>
      <c r="T57" s="117"/>
      <c r="U57" s="109">
        <f t="shared" si="17"/>
        <v>0</v>
      </c>
    </row>
    <row r="58" spans="1:21" ht="12.75">
      <c r="A58" s="88" t="s">
        <v>94</v>
      </c>
      <c r="B58" s="39">
        <v>111</v>
      </c>
      <c r="C58" s="40" t="s">
        <v>95</v>
      </c>
      <c r="D58" s="41"/>
      <c r="E58" s="109">
        <f>I58+M58+Q58+U58</f>
        <v>1987.58097</v>
      </c>
      <c r="F58" s="117">
        <v>0</v>
      </c>
      <c r="G58" s="117">
        <v>143.00777</v>
      </c>
      <c r="H58" s="117">
        <f>268.63223-102.03938</f>
        <v>166.59285</v>
      </c>
      <c r="I58" s="109">
        <f>F58+G58+H58</f>
        <v>309.60062</v>
      </c>
      <c r="J58" s="133">
        <v>166.72247</v>
      </c>
      <c r="K58" s="133">
        <v>168.9807</v>
      </c>
      <c r="L58" s="133">
        <f>164.12+94.57621+4.87097+80.00954</f>
        <v>343.57672</v>
      </c>
      <c r="M58" s="109">
        <f>SUM(J58:L58)</f>
        <v>679.27989</v>
      </c>
      <c r="N58" s="133">
        <v>6.81908</v>
      </c>
      <c r="O58" s="133">
        <v>189.19825</v>
      </c>
      <c r="P58" s="133">
        <v>293.89372</v>
      </c>
      <c r="Q58" s="109">
        <f>SUM(N58:P58)</f>
        <v>489.91105</v>
      </c>
      <c r="R58" s="117">
        <f>195.45+77.29138-154.85197</f>
        <v>117.88941</v>
      </c>
      <c r="S58" s="117">
        <v>195.45</v>
      </c>
      <c r="T58" s="117">
        <v>195.45</v>
      </c>
      <c r="U58" s="109">
        <f t="shared" si="17"/>
        <v>508.78941</v>
      </c>
    </row>
    <row r="59" spans="1:21" ht="33.75" customHeight="1">
      <c r="A59" s="90" t="s">
        <v>195</v>
      </c>
      <c r="B59" s="39">
        <v>240</v>
      </c>
      <c r="C59" s="40"/>
      <c r="D59" s="41"/>
      <c r="E59" s="109">
        <f>I59+M59+Q59+U59</f>
        <v>1359.4059899999997</v>
      </c>
      <c r="F59" s="117">
        <f>F60+F62+F66</f>
        <v>3.5012999999999996</v>
      </c>
      <c r="G59" s="117">
        <f>G60+G62+G66</f>
        <v>133.41035000000002</v>
      </c>
      <c r="H59" s="117">
        <f>H60+H62+H66</f>
        <v>116.21369</v>
      </c>
      <c r="I59" s="109">
        <f>F59+G59+H59</f>
        <v>253.12534</v>
      </c>
      <c r="J59" s="133">
        <f>J60+J62+J66</f>
        <v>98.96339</v>
      </c>
      <c r="K59" s="133">
        <f>K60+K62+K66</f>
        <v>83.85742</v>
      </c>
      <c r="L59" s="133">
        <f>L60+L62+L66</f>
        <v>65.84916999999999</v>
      </c>
      <c r="M59" s="109">
        <f>J59+K59+L59</f>
        <v>248.66997999999998</v>
      </c>
      <c r="N59" s="133">
        <f>N60+N62+N66</f>
        <v>88.82536</v>
      </c>
      <c r="O59" s="133">
        <f>O60+O62+O66</f>
        <v>83.29566</v>
      </c>
      <c r="P59" s="133">
        <f>P60+P62+P66</f>
        <v>98.81992</v>
      </c>
      <c r="Q59" s="109">
        <f>N59+O59+P59</f>
        <v>270.94093999999996</v>
      </c>
      <c r="R59" s="117">
        <f>R60+R62+R66</f>
        <v>265.14504999999997</v>
      </c>
      <c r="S59" s="117">
        <f>S60+S62+S66</f>
        <v>160.75234</v>
      </c>
      <c r="T59" s="117">
        <f>T60+T62+T66</f>
        <v>160.77234</v>
      </c>
      <c r="U59" s="109">
        <f>R59+S59+T59</f>
        <v>586.66973</v>
      </c>
    </row>
    <row r="60" spans="1:21" ht="12.75">
      <c r="A60" s="88" t="s">
        <v>96</v>
      </c>
      <c r="B60" s="39">
        <v>244</v>
      </c>
      <c r="C60" s="40" t="s">
        <v>97</v>
      </c>
      <c r="D60" s="41"/>
      <c r="E60" s="109">
        <f>I60+M60+Q60+U60</f>
        <v>311.9</v>
      </c>
      <c r="F60" s="117">
        <v>0.81172</v>
      </c>
      <c r="G60" s="117">
        <v>13.42642</v>
      </c>
      <c r="H60" s="117">
        <f>48.14186-18.5089</f>
        <v>29.63296</v>
      </c>
      <c r="I60" s="109">
        <f>SUM(F60:H60)</f>
        <v>43.8711</v>
      </c>
      <c r="J60" s="133">
        <v>21.69044</v>
      </c>
      <c r="K60" s="133">
        <v>22.69053</v>
      </c>
      <c r="L60" s="133">
        <f>26+26.10793-29.72678</f>
        <v>22.381149999999995</v>
      </c>
      <c r="M60" s="109">
        <f>SUM(J60:L60)</f>
        <v>66.76212</v>
      </c>
      <c r="N60" s="133">
        <v>22.05833</v>
      </c>
      <c r="O60" s="133">
        <v>21.74815</v>
      </c>
      <c r="P60" s="133">
        <v>38.97986</v>
      </c>
      <c r="Q60" s="109">
        <f>SUM(N60:P60)</f>
        <v>82.78634</v>
      </c>
      <c r="R60" s="117">
        <f>31.18+33.65845-8.73801</f>
        <v>56.10043999999999</v>
      </c>
      <c r="S60" s="117">
        <v>31.19</v>
      </c>
      <c r="T60" s="117">
        <v>31.19</v>
      </c>
      <c r="U60" s="109">
        <f>SUM(R60:T60)</f>
        <v>118.48043999999999</v>
      </c>
    </row>
    <row r="61" spans="1:21" ht="12.75">
      <c r="A61" s="88" t="s">
        <v>98</v>
      </c>
      <c r="B61" s="39">
        <v>244</v>
      </c>
      <c r="C61" s="40" t="s">
        <v>99</v>
      </c>
      <c r="D61" s="41"/>
      <c r="E61" s="109">
        <f>M61+Q61+U61</f>
        <v>0</v>
      </c>
      <c r="F61" s="117"/>
      <c r="G61" s="117"/>
      <c r="H61" s="117"/>
      <c r="I61" s="109">
        <f>SUM(F61:H61)</f>
        <v>0</v>
      </c>
      <c r="J61" s="133"/>
      <c r="K61" s="133"/>
      <c r="L61" s="133"/>
      <c r="M61" s="109">
        <f>SUM(J61:L61)</f>
        <v>0</v>
      </c>
      <c r="N61" s="133"/>
      <c r="O61" s="133"/>
      <c r="P61" s="133"/>
      <c r="Q61" s="109">
        <f>SUM(N61:P61)</f>
        <v>0</v>
      </c>
      <c r="R61" s="117"/>
      <c r="S61" s="117"/>
      <c r="T61" s="117"/>
      <c r="U61" s="109">
        <f>SUM(R61:T61)</f>
        <v>0</v>
      </c>
    </row>
    <row r="62" spans="1:21" ht="12.75">
      <c r="A62" s="88" t="s">
        <v>100</v>
      </c>
      <c r="B62" s="39">
        <v>244</v>
      </c>
      <c r="C62" s="40" t="s">
        <v>101</v>
      </c>
      <c r="D62" s="41"/>
      <c r="E62" s="109">
        <f aca="true" t="shared" si="18" ref="E62:E67">I62+M62+Q62+U62</f>
        <v>653.4000000000001</v>
      </c>
      <c r="F62" s="117">
        <f>F63+F64+F65</f>
        <v>2.68958</v>
      </c>
      <c r="G62" s="117">
        <f>G63+G64+G65</f>
        <v>88.76652000000001</v>
      </c>
      <c r="H62" s="117">
        <f>H63+H64+H65</f>
        <v>72.94332000000001</v>
      </c>
      <c r="I62" s="109">
        <f aca="true" t="shared" si="19" ref="I62:I67">SUM(F62:H62)</f>
        <v>164.39942000000002</v>
      </c>
      <c r="J62" s="133">
        <f>J63+J64+J65</f>
        <v>57.38154</v>
      </c>
      <c r="K62" s="133">
        <f>K63+K64+K65</f>
        <v>49.27948</v>
      </c>
      <c r="L62" s="133">
        <f>L63+L64+L65</f>
        <v>11.720609999999995</v>
      </c>
      <c r="M62" s="109">
        <f aca="true" t="shared" si="20" ref="M62:M67">SUM(J62:L62)</f>
        <v>118.38163</v>
      </c>
      <c r="N62" s="133">
        <f>N63+N64+N65</f>
        <v>51.459619999999994</v>
      </c>
      <c r="O62" s="133">
        <f>O63+O64+O65</f>
        <v>10.9951</v>
      </c>
      <c r="P62" s="133">
        <f>P63+P64+P65</f>
        <v>12.02265</v>
      </c>
      <c r="Q62" s="109">
        <f>SUM(N62:P62)</f>
        <v>74.47737</v>
      </c>
      <c r="R62" s="117">
        <f>R63+R64+R65</f>
        <v>124.91689999999998</v>
      </c>
      <c r="S62" s="117">
        <f>S63+S64+S65</f>
        <v>85.60234</v>
      </c>
      <c r="T62" s="117">
        <f>T63+T64+T65</f>
        <v>85.62234000000001</v>
      </c>
      <c r="U62" s="109">
        <f aca="true" t="shared" si="21" ref="U62:U71">SUM(R62:T62)</f>
        <v>296.14158</v>
      </c>
    </row>
    <row r="63" spans="1:21" ht="12.75">
      <c r="A63" s="88" t="s">
        <v>117</v>
      </c>
      <c r="B63" s="39">
        <v>244</v>
      </c>
      <c r="C63" s="40" t="s">
        <v>120</v>
      </c>
      <c r="D63" s="41"/>
      <c r="E63" s="109">
        <f t="shared" si="18"/>
        <v>405.90000000000003</v>
      </c>
      <c r="F63" s="117">
        <v>0</v>
      </c>
      <c r="G63" s="117">
        <v>68.78915</v>
      </c>
      <c r="H63" s="117">
        <f>12.39085+49.15883</f>
        <v>61.54968</v>
      </c>
      <c r="I63" s="109">
        <f t="shared" si="19"/>
        <v>130.33883</v>
      </c>
      <c r="J63" s="133">
        <v>54.30803</v>
      </c>
      <c r="K63" s="133">
        <v>32.58526</v>
      </c>
      <c r="L63" s="133"/>
      <c r="M63" s="109">
        <f t="shared" si="20"/>
        <v>86.89329000000001</v>
      </c>
      <c r="N63" s="133">
        <v>40.58298</v>
      </c>
      <c r="O63" s="133"/>
      <c r="P63" s="133"/>
      <c r="Q63" s="109">
        <f>SUM(N63:P63)</f>
        <v>40.58298</v>
      </c>
      <c r="R63" s="117">
        <f>74.41-1.98686-32.58526-13.52766</f>
        <v>26.310219999999994</v>
      </c>
      <c r="S63" s="117">
        <f>74.41-13.52766</f>
        <v>60.88234</v>
      </c>
      <c r="T63" s="117">
        <f>74.42-13.52766</f>
        <v>60.892340000000004</v>
      </c>
      <c r="U63" s="109">
        <f>SUM(R63:T63)</f>
        <v>148.0849</v>
      </c>
    </row>
    <row r="64" spans="1:21" ht="12.75">
      <c r="A64" s="88" t="s">
        <v>118</v>
      </c>
      <c r="B64" s="39">
        <v>244</v>
      </c>
      <c r="C64" s="40" t="s">
        <v>121</v>
      </c>
      <c r="D64" s="41"/>
      <c r="E64" s="109">
        <f t="shared" si="18"/>
        <v>242.89999999999998</v>
      </c>
      <c r="F64" s="117">
        <v>2.68958</v>
      </c>
      <c r="G64" s="117">
        <v>19.59998</v>
      </c>
      <c r="H64" s="117">
        <f>26.29044-15.27419</f>
        <v>11.01625</v>
      </c>
      <c r="I64" s="109">
        <f t="shared" si="19"/>
        <v>33.305809999999994</v>
      </c>
      <c r="J64" s="133">
        <v>2.69612</v>
      </c>
      <c r="K64" s="133">
        <v>16.31683</v>
      </c>
      <c r="L64" s="133">
        <f>20.25+36.74124-45.64802</f>
        <v>11.343219999999995</v>
      </c>
      <c r="M64" s="109">
        <f t="shared" si="20"/>
        <v>30.356169999999995</v>
      </c>
      <c r="N64" s="133">
        <v>10.49925</v>
      </c>
      <c r="O64" s="133">
        <v>10.60689</v>
      </c>
      <c r="P64" s="133">
        <v>11.63444</v>
      </c>
      <c r="Q64" s="109">
        <f aca="true" t="shared" si="22" ref="Q64:Q71">SUM(N64:P64)</f>
        <v>32.74058</v>
      </c>
      <c r="R64" s="117">
        <f>24.28+55.38877+18.24867</f>
        <v>97.91744</v>
      </c>
      <c r="S64" s="117">
        <v>24.29</v>
      </c>
      <c r="T64" s="117">
        <v>24.29</v>
      </c>
      <c r="U64" s="109">
        <f t="shared" si="21"/>
        <v>146.49743999999998</v>
      </c>
    </row>
    <row r="65" spans="1:21" ht="12.75">
      <c r="A65" s="88" t="s">
        <v>119</v>
      </c>
      <c r="B65" s="39">
        <v>244</v>
      </c>
      <c r="C65" s="40" t="s">
        <v>122</v>
      </c>
      <c r="D65" s="41"/>
      <c r="E65" s="109">
        <f t="shared" si="18"/>
        <v>4.6</v>
      </c>
      <c r="F65" s="117">
        <v>0</v>
      </c>
      <c r="G65" s="117">
        <v>0.37739</v>
      </c>
      <c r="H65" s="117">
        <f>0.62261-0.24522</f>
        <v>0.37739</v>
      </c>
      <c r="I65" s="109">
        <f t="shared" si="19"/>
        <v>0.75478</v>
      </c>
      <c r="J65" s="133">
        <v>0.37739</v>
      </c>
      <c r="K65" s="133">
        <v>0.37739</v>
      </c>
      <c r="L65" s="133">
        <f>0.39+0.25044-0.26305</f>
        <v>0.37739</v>
      </c>
      <c r="M65" s="109">
        <f t="shared" si="20"/>
        <v>1.13217</v>
      </c>
      <c r="N65" s="133">
        <v>0.37739</v>
      </c>
      <c r="O65" s="133">
        <v>0.38821</v>
      </c>
      <c r="P65" s="133">
        <v>0.38821</v>
      </c>
      <c r="Q65" s="109">
        <f t="shared" si="22"/>
        <v>1.15381</v>
      </c>
      <c r="R65" s="117">
        <f>0.43+0.26566-0.00642</f>
        <v>0.68924</v>
      </c>
      <c r="S65" s="117">
        <v>0.43</v>
      </c>
      <c r="T65" s="117">
        <v>0.44</v>
      </c>
      <c r="U65" s="109">
        <f t="shared" si="21"/>
        <v>1.55924</v>
      </c>
    </row>
    <row r="66" spans="1:21" ht="12.75">
      <c r="A66" s="88" t="s">
        <v>102</v>
      </c>
      <c r="B66" s="39">
        <v>244</v>
      </c>
      <c r="C66" s="40" t="s">
        <v>103</v>
      </c>
      <c r="D66" s="41"/>
      <c r="E66" s="109">
        <f t="shared" si="18"/>
        <v>394.10599</v>
      </c>
      <c r="F66" s="117">
        <f>F67</f>
        <v>0</v>
      </c>
      <c r="G66" s="117">
        <f>G67</f>
        <v>31.21741</v>
      </c>
      <c r="H66" s="117">
        <f>H67</f>
        <v>13.637409999999988</v>
      </c>
      <c r="I66" s="109">
        <f t="shared" si="19"/>
        <v>44.85481999999999</v>
      </c>
      <c r="J66" s="133">
        <f>J67</f>
        <v>19.89141</v>
      </c>
      <c r="K66" s="133">
        <f>K67</f>
        <v>11.88741</v>
      </c>
      <c r="L66" s="133">
        <f>L67</f>
        <v>31.747410000000002</v>
      </c>
      <c r="M66" s="109">
        <f t="shared" si="20"/>
        <v>63.52623</v>
      </c>
      <c r="N66" s="133">
        <f>N67</f>
        <v>15.30741</v>
      </c>
      <c r="O66" s="133">
        <f>O67</f>
        <v>50.55241</v>
      </c>
      <c r="P66" s="133">
        <f>P67</f>
        <v>47.81741</v>
      </c>
      <c r="Q66" s="109">
        <f t="shared" si="22"/>
        <v>113.67723000000001</v>
      </c>
      <c r="R66" s="117">
        <f>R67</f>
        <v>84.12771000000001</v>
      </c>
      <c r="S66" s="117">
        <f>S67</f>
        <v>43.96</v>
      </c>
      <c r="T66" s="117">
        <f>T67</f>
        <v>43.96</v>
      </c>
      <c r="U66" s="109">
        <f t="shared" si="21"/>
        <v>172.04771000000002</v>
      </c>
    </row>
    <row r="67" spans="1:21" ht="12.75">
      <c r="A67" s="88" t="s">
        <v>137</v>
      </c>
      <c r="B67" s="39">
        <v>244</v>
      </c>
      <c r="C67" s="40" t="s">
        <v>103</v>
      </c>
      <c r="D67" s="41"/>
      <c r="E67" s="109">
        <f t="shared" si="18"/>
        <v>394.10599</v>
      </c>
      <c r="F67" s="117">
        <v>0</v>
      </c>
      <c r="G67" s="117">
        <v>31.21741</v>
      </c>
      <c r="H67" s="117">
        <f>153.10259-139.46518</f>
        <v>13.637409999999988</v>
      </c>
      <c r="I67" s="109">
        <f t="shared" si="19"/>
        <v>44.85481999999999</v>
      </c>
      <c r="J67" s="133">
        <v>19.89141</v>
      </c>
      <c r="K67" s="133">
        <v>11.88741</v>
      </c>
      <c r="L67" s="133">
        <f>35.14+177.94636-181.33895</f>
        <v>31.747410000000002</v>
      </c>
      <c r="M67" s="109">
        <f t="shared" si="20"/>
        <v>63.52623</v>
      </c>
      <c r="N67" s="133">
        <v>15.30741</v>
      </c>
      <c r="O67" s="133">
        <v>50.55241</v>
      </c>
      <c r="P67" s="133">
        <v>47.81741</v>
      </c>
      <c r="Q67" s="109">
        <f t="shared" si="22"/>
        <v>113.67723000000001</v>
      </c>
      <c r="R67" s="117">
        <f>43.96+166.03154-50.55241-75.31142</f>
        <v>84.12771000000001</v>
      </c>
      <c r="S67" s="117">
        <v>43.96</v>
      </c>
      <c r="T67" s="117">
        <v>43.96</v>
      </c>
      <c r="U67" s="109">
        <f t="shared" si="21"/>
        <v>172.04771000000002</v>
      </c>
    </row>
    <row r="68" spans="1:21" ht="48" customHeight="1">
      <c r="A68" s="90" t="s">
        <v>196</v>
      </c>
      <c r="B68" s="45">
        <v>240</v>
      </c>
      <c r="C68" s="46"/>
      <c r="D68" s="41"/>
      <c r="E68" s="122">
        <f>Q68+U68+I68+M68</f>
        <v>732.7840100000001</v>
      </c>
      <c r="F68" s="118">
        <f>F69</f>
        <v>0</v>
      </c>
      <c r="G68" s="118">
        <f>G69</f>
        <v>108.961</v>
      </c>
      <c r="H68" s="118">
        <f>H69</f>
        <v>96.692</v>
      </c>
      <c r="I68" s="122">
        <f>F68+G68+H68</f>
        <v>205.653</v>
      </c>
      <c r="J68" s="134">
        <f>J69</f>
        <v>135.546</v>
      </c>
      <c r="K68" s="134">
        <f>K69</f>
        <v>93.55398000000001</v>
      </c>
      <c r="L68" s="134">
        <f>L69</f>
        <v>63.44358</v>
      </c>
      <c r="M68" s="122">
        <f>J68+K68+L68</f>
        <v>292.54356</v>
      </c>
      <c r="N68" s="134">
        <f>N69</f>
        <v>75.33345</v>
      </c>
      <c r="O68" s="133">
        <f>O69</f>
        <v>98.89200000000001</v>
      </c>
      <c r="P68" s="134">
        <f>P69</f>
        <v>60.362</v>
      </c>
      <c r="Q68" s="122">
        <f t="shared" si="22"/>
        <v>234.58745000000002</v>
      </c>
      <c r="R68" s="118">
        <f>R69</f>
        <v>1.2434497875801753E-14</v>
      </c>
      <c r="S68" s="118">
        <f>S69</f>
        <v>0</v>
      </c>
      <c r="T68" s="118">
        <f>T69</f>
        <v>0</v>
      </c>
      <c r="U68" s="122">
        <f t="shared" si="21"/>
        <v>1.2434497875801753E-14</v>
      </c>
    </row>
    <row r="69" spans="1:21" ht="12.75">
      <c r="A69" s="88" t="s">
        <v>138</v>
      </c>
      <c r="B69" s="39">
        <v>244</v>
      </c>
      <c r="C69" s="40" t="s">
        <v>105</v>
      </c>
      <c r="D69" s="41"/>
      <c r="E69" s="109">
        <f aca="true" t="shared" si="23" ref="E69:E74">I69+M69+Q69+U69</f>
        <v>732.78401</v>
      </c>
      <c r="F69" s="117">
        <v>0</v>
      </c>
      <c r="G69" s="117">
        <v>108.961</v>
      </c>
      <c r="H69" s="117">
        <f>9.979+86.713</f>
        <v>96.692</v>
      </c>
      <c r="I69" s="109">
        <f aca="true" t="shared" si="24" ref="I69:I74">SUM(F69:H69)</f>
        <v>205.653</v>
      </c>
      <c r="J69" s="133">
        <v>135.546</v>
      </c>
      <c r="K69" s="133">
        <f>87.412+6.14198</f>
        <v>93.55398000000001</v>
      </c>
      <c r="L69" s="133">
        <v>63.44358</v>
      </c>
      <c r="M69" s="109">
        <f aca="true" t="shared" si="25" ref="M69:M74">SUM(J69:L69)</f>
        <v>292.54356</v>
      </c>
      <c r="N69" s="133">
        <v>75.33345</v>
      </c>
      <c r="O69" s="133">
        <f>87.552+11.34</f>
        <v>98.89200000000001</v>
      </c>
      <c r="P69" s="133">
        <v>60.362</v>
      </c>
      <c r="Q69" s="109">
        <f t="shared" si="22"/>
        <v>234.58745000000002</v>
      </c>
      <c r="R69" s="117">
        <f>134.56-39.599-6.14198-63.44358-17.552-3.78-4.04344</f>
        <v>1.2434497875801753E-14</v>
      </c>
      <c r="S69" s="117">
        <f>134.56-43.706-37.66645-35-3.78-14.40755</f>
        <v>0</v>
      </c>
      <c r="T69" s="117">
        <f>134.57-43.706-37.667-35-3.78-14.417</f>
        <v>0</v>
      </c>
      <c r="U69" s="109">
        <f t="shared" si="21"/>
        <v>1.2434497875801753E-14</v>
      </c>
    </row>
    <row r="70" spans="1:21" ht="41.25" customHeight="1">
      <c r="A70" s="90" t="s">
        <v>197</v>
      </c>
      <c r="B70" s="45">
        <v>850</v>
      </c>
      <c r="C70" s="46"/>
      <c r="D70" s="47"/>
      <c r="E70" s="122">
        <f t="shared" si="23"/>
        <v>1618.5745300000003</v>
      </c>
      <c r="F70" s="118">
        <f>F71+F72+F73</f>
        <v>250.638</v>
      </c>
      <c r="G70" s="118">
        <f>G71+G72+G73</f>
        <v>0</v>
      </c>
      <c r="H70" s="118">
        <f>H71+H72+H73</f>
        <v>0</v>
      </c>
      <c r="I70" s="122">
        <f t="shared" si="24"/>
        <v>250.638</v>
      </c>
      <c r="J70" s="134">
        <f>J71+J72+J73</f>
        <v>249.053</v>
      </c>
      <c r="K70" s="134">
        <f>K71+K72+K73</f>
        <v>0.25</v>
      </c>
      <c r="L70" s="134">
        <f>L71+L72+L73</f>
        <v>249.053</v>
      </c>
      <c r="M70" s="122">
        <f t="shared" si="25"/>
        <v>498.356</v>
      </c>
      <c r="N70" s="134">
        <f>N71+N72+N73</f>
        <v>0</v>
      </c>
      <c r="O70" s="134">
        <f>O71+O72+O73</f>
        <v>0</v>
      </c>
      <c r="P70" s="134">
        <f>P71+P72+P73</f>
        <v>0</v>
      </c>
      <c r="Q70" s="122">
        <f t="shared" si="22"/>
        <v>0</v>
      </c>
      <c r="R70" s="118">
        <f>R71+R72+R73</f>
        <v>286.26053</v>
      </c>
      <c r="S70" s="118">
        <f>S71+S72+S73</f>
        <v>291.65000000000003</v>
      </c>
      <c r="T70" s="118">
        <f>T71+T72+T73</f>
        <v>291.67</v>
      </c>
      <c r="U70" s="122">
        <f t="shared" si="21"/>
        <v>869.5805300000002</v>
      </c>
    </row>
    <row r="71" spans="1:21" ht="12.75">
      <c r="A71" s="88" t="s">
        <v>106</v>
      </c>
      <c r="B71" s="39">
        <v>851</v>
      </c>
      <c r="C71" s="40" t="s">
        <v>107</v>
      </c>
      <c r="D71" s="41"/>
      <c r="E71" s="109">
        <f t="shared" si="23"/>
        <v>1607.78453</v>
      </c>
      <c r="F71" s="117">
        <v>248.148</v>
      </c>
      <c r="G71" s="117">
        <v>0</v>
      </c>
      <c r="H71" s="117">
        <f>140.77476-140.77476</f>
        <v>0</v>
      </c>
      <c r="I71" s="109">
        <f t="shared" si="24"/>
        <v>248.148</v>
      </c>
      <c r="J71" s="133">
        <v>246.553</v>
      </c>
      <c r="K71" s="133"/>
      <c r="L71" s="133">
        <f>41.77-9.30647+214.08947</f>
        <v>246.553</v>
      </c>
      <c r="M71" s="109">
        <f t="shared" si="25"/>
        <v>493.106</v>
      </c>
      <c r="N71" s="133"/>
      <c r="O71" s="133"/>
      <c r="P71" s="133"/>
      <c r="Q71" s="109">
        <f t="shared" si="22"/>
        <v>0</v>
      </c>
      <c r="R71" s="117">
        <f>290.74-160+154.30053</f>
        <v>285.04053</v>
      </c>
      <c r="S71" s="117">
        <v>290.74</v>
      </c>
      <c r="T71" s="117">
        <v>290.75</v>
      </c>
      <c r="U71" s="109">
        <f t="shared" si="21"/>
        <v>866.53053</v>
      </c>
    </row>
    <row r="72" spans="1:21" ht="12.75">
      <c r="A72" s="88" t="s">
        <v>106</v>
      </c>
      <c r="B72" s="39">
        <v>852</v>
      </c>
      <c r="C72" s="40" t="s">
        <v>107</v>
      </c>
      <c r="D72" s="41"/>
      <c r="E72" s="109">
        <f t="shared" si="23"/>
        <v>10.54</v>
      </c>
      <c r="F72" s="117">
        <v>2.49</v>
      </c>
      <c r="G72" s="117">
        <v>0</v>
      </c>
      <c r="H72" s="117">
        <f>0.11-0.11</f>
        <v>0</v>
      </c>
      <c r="I72" s="109">
        <f t="shared" si="24"/>
        <v>2.49</v>
      </c>
      <c r="J72" s="133">
        <v>2.5</v>
      </c>
      <c r="K72" s="133"/>
      <c r="L72" s="133">
        <f>0.87-0.66+2.29</f>
        <v>2.5</v>
      </c>
      <c r="M72" s="109">
        <f t="shared" si="25"/>
        <v>5</v>
      </c>
      <c r="N72" s="133"/>
      <c r="O72" s="133"/>
      <c r="P72" s="133"/>
      <c r="Q72" s="109">
        <f aca="true" t="shared" si="26" ref="Q72:Q77">SUM(N72:P72)</f>
        <v>0</v>
      </c>
      <c r="R72" s="117">
        <f>0.91+0.31</f>
        <v>1.22</v>
      </c>
      <c r="S72" s="117">
        <v>0.91</v>
      </c>
      <c r="T72" s="117">
        <v>0.92</v>
      </c>
      <c r="U72" s="109">
        <f aca="true" t="shared" si="27" ref="U72:U77">SUM(R72:T72)</f>
        <v>3.05</v>
      </c>
    </row>
    <row r="73" spans="1:21" ht="12.75">
      <c r="A73" s="88" t="s">
        <v>106</v>
      </c>
      <c r="B73" s="39">
        <v>853</v>
      </c>
      <c r="C73" s="40" t="s">
        <v>107</v>
      </c>
      <c r="D73" s="41"/>
      <c r="E73" s="109">
        <f t="shared" si="23"/>
        <v>0.25</v>
      </c>
      <c r="F73" s="117">
        <v>0</v>
      </c>
      <c r="G73" s="117">
        <v>0</v>
      </c>
      <c r="H73" s="117">
        <v>0</v>
      </c>
      <c r="I73" s="109">
        <f t="shared" si="24"/>
        <v>0</v>
      </c>
      <c r="J73" s="133">
        <v>0</v>
      </c>
      <c r="K73" s="133">
        <v>0.25</v>
      </c>
      <c r="L73" s="133">
        <v>0</v>
      </c>
      <c r="M73" s="109">
        <f t="shared" si="25"/>
        <v>0.25</v>
      </c>
      <c r="N73" s="133">
        <v>0</v>
      </c>
      <c r="O73" s="133">
        <v>0</v>
      </c>
      <c r="P73" s="133">
        <v>0</v>
      </c>
      <c r="Q73" s="109">
        <f t="shared" si="26"/>
        <v>0</v>
      </c>
      <c r="R73" s="117">
        <v>0</v>
      </c>
      <c r="S73" s="117">
        <v>0</v>
      </c>
      <c r="T73" s="117">
        <v>0</v>
      </c>
      <c r="U73" s="109">
        <f t="shared" si="27"/>
        <v>0</v>
      </c>
    </row>
    <row r="74" spans="1:21" ht="33" customHeight="1">
      <c r="A74" s="90" t="s">
        <v>198</v>
      </c>
      <c r="B74" s="45">
        <v>240</v>
      </c>
      <c r="C74" s="40"/>
      <c r="D74" s="41"/>
      <c r="E74" s="122">
        <f t="shared" si="23"/>
        <v>100</v>
      </c>
      <c r="F74" s="118">
        <f>F75</f>
        <v>0</v>
      </c>
      <c r="G74" s="118">
        <f>G75</f>
        <v>0</v>
      </c>
      <c r="H74" s="118">
        <f>H75</f>
        <v>0</v>
      </c>
      <c r="I74" s="122">
        <f t="shared" si="24"/>
        <v>0</v>
      </c>
      <c r="J74" s="134">
        <f>J75</f>
        <v>69.45</v>
      </c>
      <c r="K74" s="134">
        <f>K75</f>
        <v>10.5</v>
      </c>
      <c r="L74" s="134">
        <f>L75</f>
        <v>0</v>
      </c>
      <c r="M74" s="122">
        <f t="shared" si="25"/>
        <v>79.95</v>
      </c>
      <c r="N74" s="134">
        <f>N75</f>
        <v>0</v>
      </c>
      <c r="O74" s="134">
        <f>O75</f>
        <v>5.866</v>
      </c>
      <c r="P74" s="134">
        <f>P75</f>
        <v>0</v>
      </c>
      <c r="Q74" s="122">
        <f t="shared" si="26"/>
        <v>5.866</v>
      </c>
      <c r="R74" s="118">
        <f>R75</f>
        <v>5.550000000000001</v>
      </c>
      <c r="S74" s="118">
        <f>S75</f>
        <v>8.634</v>
      </c>
      <c r="T74" s="118">
        <f>T75</f>
        <v>0</v>
      </c>
      <c r="U74" s="122">
        <f t="shared" si="27"/>
        <v>14.184000000000001</v>
      </c>
    </row>
    <row r="75" spans="1:21" ht="12.75">
      <c r="A75" s="88" t="s">
        <v>108</v>
      </c>
      <c r="B75" s="39">
        <v>244</v>
      </c>
      <c r="C75" s="40" t="s">
        <v>109</v>
      </c>
      <c r="D75" s="41"/>
      <c r="E75" s="109">
        <f>Q75+U75+M75+I75</f>
        <v>100</v>
      </c>
      <c r="F75" s="117">
        <v>0</v>
      </c>
      <c r="G75" s="117">
        <v>0</v>
      </c>
      <c r="H75" s="117">
        <v>0</v>
      </c>
      <c r="I75" s="109">
        <f>F75+G75+H75</f>
        <v>0</v>
      </c>
      <c r="J75" s="133">
        <f>50+19.45</f>
        <v>69.45</v>
      </c>
      <c r="K75" s="133">
        <v>10.5</v>
      </c>
      <c r="L75" s="133">
        <v>0</v>
      </c>
      <c r="M75" s="109">
        <f>J75+K75+L75</f>
        <v>79.95</v>
      </c>
      <c r="N75" s="133">
        <v>0</v>
      </c>
      <c r="O75" s="133">
        <v>5.866</v>
      </c>
      <c r="P75" s="133">
        <v>0</v>
      </c>
      <c r="Q75" s="109">
        <f t="shared" si="26"/>
        <v>5.866</v>
      </c>
      <c r="R75" s="117">
        <f>25-19.45</f>
        <v>5.550000000000001</v>
      </c>
      <c r="S75" s="117">
        <f>25-10.5-5.866</f>
        <v>8.634</v>
      </c>
      <c r="T75" s="117">
        <v>0</v>
      </c>
      <c r="U75" s="109">
        <f t="shared" si="27"/>
        <v>14.184000000000001</v>
      </c>
    </row>
    <row r="76" spans="1:21" ht="31.5" customHeight="1">
      <c r="A76" s="90" t="s">
        <v>199</v>
      </c>
      <c r="B76" s="45">
        <v>240</v>
      </c>
      <c r="C76" s="40"/>
      <c r="D76" s="41"/>
      <c r="E76" s="122">
        <f aca="true" t="shared" si="28" ref="E76:E90">I76+M76+Q76+U76</f>
        <v>250.8</v>
      </c>
      <c r="F76" s="118">
        <f>F77</f>
        <v>7.278</v>
      </c>
      <c r="G76" s="118">
        <f>G77</f>
        <v>11.39765</v>
      </c>
      <c r="H76" s="118">
        <f>H77</f>
        <v>15.225709999999996</v>
      </c>
      <c r="I76" s="122">
        <f>SUM(F76:H76)</f>
        <v>33.90136</v>
      </c>
      <c r="J76" s="134">
        <f>J77</f>
        <v>17.6855</v>
      </c>
      <c r="K76" s="134">
        <f>K77</f>
        <v>14.9805</v>
      </c>
      <c r="L76" s="134">
        <f>L77</f>
        <v>18.076499999999996</v>
      </c>
      <c r="M76" s="122">
        <f>SUM(J76:L76)</f>
        <v>50.74249999999999</v>
      </c>
      <c r="N76" s="134">
        <f>N77</f>
        <v>20.877</v>
      </c>
      <c r="O76" s="134">
        <f>O77</f>
        <v>18.213</v>
      </c>
      <c r="P76" s="134">
        <f>P77</f>
        <v>21.216</v>
      </c>
      <c r="Q76" s="122">
        <f t="shared" si="26"/>
        <v>60.306000000000004</v>
      </c>
      <c r="R76" s="118">
        <f>R77</f>
        <v>28.98014</v>
      </c>
      <c r="S76" s="118">
        <f>S77</f>
        <v>38.43</v>
      </c>
      <c r="T76" s="118">
        <f>T77</f>
        <v>38.44</v>
      </c>
      <c r="U76" s="122">
        <f t="shared" si="27"/>
        <v>105.85014</v>
      </c>
    </row>
    <row r="77" spans="1:21" ht="12.75">
      <c r="A77" s="88" t="s">
        <v>139</v>
      </c>
      <c r="B77" s="39">
        <v>244</v>
      </c>
      <c r="C77" s="40" t="s">
        <v>124</v>
      </c>
      <c r="D77" s="41"/>
      <c r="E77" s="109">
        <f t="shared" si="28"/>
        <v>250.8</v>
      </c>
      <c r="F77" s="117">
        <v>7.278</v>
      </c>
      <c r="G77" s="117">
        <v>11.39765</v>
      </c>
      <c r="H77" s="117">
        <f>41.42435-26.19864</f>
        <v>15.225709999999996</v>
      </c>
      <c r="I77" s="109">
        <f>SUM(F77:H77)</f>
        <v>33.90136</v>
      </c>
      <c r="J77" s="133">
        <v>17.6855</v>
      </c>
      <c r="K77" s="133">
        <v>14.9805</v>
      </c>
      <c r="L77" s="133">
        <f>20.9+35.33264-38.15614</f>
        <v>18.076499999999996</v>
      </c>
      <c r="M77" s="109">
        <f>SUM(J77:L77)</f>
        <v>50.74249999999999</v>
      </c>
      <c r="N77" s="133">
        <v>20.877</v>
      </c>
      <c r="O77" s="133">
        <v>18.213</v>
      </c>
      <c r="P77" s="133">
        <v>21.216</v>
      </c>
      <c r="Q77" s="109">
        <f t="shared" si="26"/>
        <v>60.306000000000004</v>
      </c>
      <c r="R77" s="117">
        <f>38.43+21.51-9.74386-9.44986-11.76614</f>
        <v>28.98014</v>
      </c>
      <c r="S77" s="117">
        <v>38.43</v>
      </c>
      <c r="T77" s="117">
        <v>38.44</v>
      </c>
      <c r="U77" s="109">
        <f t="shared" si="27"/>
        <v>105.85014</v>
      </c>
    </row>
    <row r="78" spans="1:21" ht="21">
      <c r="A78" s="90" t="s">
        <v>200</v>
      </c>
      <c r="B78" s="45">
        <v>240</v>
      </c>
      <c r="C78" s="46"/>
      <c r="D78" s="47"/>
      <c r="E78" s="122">
        <f t="shared" si="28"/>
        <v>146.4</v>
      </c>
      <c r="F78" s="118">
        <f>F79</f>
        <v>0</v>
      </c>
      <c r="G78" s="118">
        <f>G79</f>
        <v>24.6234</v>
      </c>
      <c r="H78" s="118">
        <f>H79</f>
        <v>7.2180000000000035</v>
      </c>
      <c r="I78" s="122">
        <f>F78+G78+H78</f>
        <v>31.841400000000004</v>
      </c>
      <c r="J78" s="134">
        <f>J79</f>
        <v>0</v>
      </c>
      <c r="K78" s="134">
        <f>K79</f>
        <v>4.65</v>
      </c>
      <c r="L78" s="134">
        <f>L79</f>
        <v>51.13300000000001</v>
      </c>
      <c r="M78" s="122">
        <f>J78+K78+L78</f>
        <v>55.78300000000001</v>
      </c>
      <c r="N78" s="134">
        <f>N79</f>
        <v>13.8</v>
      </c>
      <c r="O78" s="134">
        <f>O79</f>
        <v>0</v>
      </c>
      <c r="P78" s="134">
        <f>P79</f>
        <v>0.6</v>
      </c>
      <c r="Q78" s="122">
        <f>N78+O78+P78</f>
        <v>14.4</v>
      </c>
      <c r="R78" s="118">
        <f>R79</f>
        <v>18.3756</v>
      </c>
      <c r="S78" s="118">
        <f>S79</f>
        <v>13</v>
      </c>
      <c r="T78" s="118">
        <f>T79</f>
        <v>13</v>
      </c>
      <c r="U78" s="122">
        <f>R78+S78+T78</f>
        <v>44.3756</v>
      </c>
    </row>
    <row r="79" spans="1:21" ht="20.25" customHeight="1">
      <c r="A79" s="88" t="s">
        <v>202</v>
      </c>
      <c r="B79" s="39">
        <v>244</v>
      </c>
      <c r="C79" s="40" t="s">
        <v>201</v>
      </c>
      <c r="D79" s="41"/>
      <c r="E79" s="109">
        <f t="shared" si="28"/>
        <v>146.4</v>
      </c>
      <c r="F79" s="117">
        <v>0</v>
      </c>
      <c r="G79" s="117">
        <v>24.6234</v>
      </c>
      <c r="H79" s="117">
        <f>45.7766-38.5586</f>
        <v>7.2180000000000035</v>
      </c>
      <c r="I79" s="109">
        <f>SUM(F79:H79)</f>
        <v>31.841400000000004</v>
      </c>
      <c r="J79" s="133"/>
      <c r="K79" s="133">
        <v>4.65</v>
      </c>
      <c r="L79" s="133">
        <f>12.34+58.5686-19.7756</f>
        <v>51.13300000000001</v>
      </c>
      <c r="M79" s="109">
        <f aca="true" t="shared" si="29" ref="M79:M90">SUM(J79:L79)</f>
        <v>55.78300000000001</v>
      </c>
      <c r="N79" s="133">
        <v>13.8</v>
      </c>
      <c r="O79" s="133">
        <v>0</v>
      </c>
      <c r="P79" s="133">
        <v>0.6</v>
      </c>
      <c r="Q79" s="109">
        <f aca="true" t="shared" si="30" ref="Q79:Q90">SUM(N79:P79)</f>
        <v>14.4</v>
      </c>
      <c r="R79" s="117">
        <f>13+5.9756-0.6</f>
        <v>18.3756</v>
      </c>
      <c r="S79" s="117">
        <v>13</v>
      </c>
      <c r="T79" s="117">
        <v>13</v>
      </c>
      <c r="U79" s="109">
        <f aca="true" t="shared" si="31" ref="U79:U90">SUM(R79:T79)</f>
        <v>44.3756</v>
      </c>
    </row>
    <row r="80" spans="1:21" ht="33" customHeight="1">
      <c r="A80" s="90" t="s">
        <v>236</v>
      </c>
      <c r="B80" s="45">
        <v>850</v>
      </c>
      <c r="C80" s="46"/>
      <c r="D80" s="47"/>
      <c r="E80" s="122">
        <f>I80+M80+Q80+U80</f>
        <v>15</v>
      </c>
      <c r="F80" s="118">
        <f>F81</f>
        <v>0</v>
      </c>
      <c r="G80" s="118">
        <f>G81</f>
        <v>0</v>
      </c>
      <c r="H80" s="118">
        <f>H81</f>
        <v>14.817</v>
      </c>
      <c r="I80" s="122">
        <f>F80+G80+H80</f>
        <v>14.817</v>
      </c>
      <c r="J80" s="134">
        <f>J81</f>
        <v>0</v>
      </c>
      <c r="K80" s="134">
        <f>K81</f>
        <v>0</v>
      </c>
      <c r="L80" s="134">
        <f>L81</f>
        <v>0</v>
      </c>
      <c r="M80" s="122">
        <f>J80+K80+L80</f>
        <v>0</v>
      </c>
      <c r="N80" s="134">
        <f>N81</f>
        <v>0</v>
      </c>
      <c r="O80" s="134">
        <f>O81</f>
        <v>0</v>
      </c>
      <c r="P80" s="134">
        <f>P81</f>
        <v>0</v>
      </c>
      <c r="Q80" s="122">
        <f>N80+O80+P80</f>
        <v>0</v>
      </c>
      <c r="R80" s="118">
        <f>R81</f>
        <v>0.183</v>
      </c>
      <c r="S80" s="118">
        <f>S81</f>
        <v>0</v>
      </c>
      <c r="T80" s="118">
        <f>T81</f>
        <v>0</v>
      </c>
      <c r="U80" s="122">
        <f>R80+S80+T80</f>
        <v>0.183</v>
      </c>
    </row>
    <row r="81" spans="1:21" ht="14.25" customHeight="1">
      <c r="A81" s="88" t="s">
        <v>106</v>
      </c>
      <c r="B81" s="39">
        <v>853</v>
      </c>
      <c r="C81" s="40" t="s">
        <v>107</v>
      </c>
      <c r="D81" s="41"/>
      <c r="E81" s="109">
        <f>I81+M81+Q81+U81</f>
        <v>15</v>
      </c>
      <c r="F81" s="117">
        <v>0</v>
      </c>
      <c r="G81" s="117">
        <v>0</v>
      </c>
      <c r="H81" s="117">
        <f>5+9.817</f>
        <v>14.817</v>
      </c>
      <c r="I81" s="109">
        <f aca="true" t="shared" si="32" ref="I81:I98">SUM(F81:H81)</f>
        <v>14.817</v>
      </c>
      <c r="J81" s="133">
        <v>0</v>
      </c>
      <c r="K81" s="133">
        <v>0</v>
      </c>
      <c r="L81" s="133">
        <v>0</v>
      </c>
      <c r="M81" s="109">
        <f>SUM(J81:L81)</f>
        <v>0</v>
      </c>
      <c r="N81" s="133"/>
      <c r="O81" s="133"/>
      <c r="P81" s="133"/>
      <c r="Q81" s="109">
        <f>SUM(N81:P81)</f>
        <v>0</v>
      </c>
      <c r="R81" s="117">
        <v>0.183</v>
      </c>
      <c r="S81" s="117">
        <v>0</v>
      </c>
      <c r="T81" s="117">
        <v>0</v>
      </c>
      <c r="U81" s="109">
        <f>SUM(R81:T81)</f>
        <v>0.183</v>
      </c>
    </row>
    <row r="82" spans="1:21" ht="58.5" customHeight="1">
      <c r="A82" s="90" t="s">
        <v>290</v>
      </c>
      <c r="B82" s="45">
        <v>110</v>
      </c>
      <c r="C82" s="46" t="s">
        <v>113</v>
      </c>
      <c r="D82" s="41"/>
      <c r="E82" s="130">
        <f>I82+M82+Q82+U82</f>
        <v>52.3</v>
      </c>
      <c r="F82" s="133">
        <f>F83+F84</f>
        <v>0</v>
      </c>
      <c r="G82" s="133">
        <f>G83+G84</f>
        <v>0</v>
      </c>
      <c r="H82" s="133">
        <f>H83+H84</f>
        <v>0</v>
      </c>
      <c r="I82" s="130">
        <f>F82+G82+H82</f>
        <v>0</v>
      </c>
      <c r="J82" s="133">
        <f>J83+J84</f>
        <v>0</v>
      </c>
      <c r="K82" s="133">
        <f>K83+K84</f>
        <v>0</v>
      </c>
      <c r="L82" s="133">
        <f>L83+L84</f>
        <v>0</v>
      </c>
      <c r="M82" s="130">
        <f>J82+K82+L82</f>
        <v>0</v>
      </c>
      <c r="N82" s="133">
        <f>N83+N84</f>
        <v>0</v>
      </c>
      <c r="O82" s="133">
        <f>O83+O84</f>
        <v>0</v>
      </c>
      <c r="P82" s="133">
        <f>P83+P84</f>
        <v>26.15456</v>
      </c>
      <c r="Q82" s="130">
        <f>N82+O82+P82</f>
        <v>26.15456</v>
      </c>
      <c r="R82" s="133">
        <f>R83+R84</f>
        <v>26.14544</v>
      </c>
      <c r="S82" s="133">
        <f>S83+S84</f>
        <v>0</v>
      </c>
      <c r="T82" s="133">
        <f>T83+T84</f>
        <v>0</v>
      </c>
      <c r="U82" s="130">
        <f>R82+S82+T82</f>
        <v>26.14544</v>
      </c>
    </row>
    <row r="83" spans="1:21" ht="14.25" customHeight="1">
      <c r="A83" s="88" t="s">
        <v>90</v>
      </c>
      <c r="B83" s="39">
        <v>111</v>
      </c>
      <c r="C83" s="40" t="s">
        <v>91</v>
      </c>
      <c r="D83" s="41"/>
      <c r="E83" s="130">
        <f>I83+M83+Q83+U83</f>
        <v>40.17</v>
      </c>
      <c r="F83" s="133"/>
      <c r="G83" s="133"/>
      <c r="H83" s="133"/>
      <c r="I83" s="130">
        <f>F83+G83+H83</f>
        <v>0</v>
      </c>
      <c r="J83" s="133"/>
      <c r="K83" s="133"/>
      <c r="L83" s="133">
        <f>40.17-40.17</f>
        <v>0</v>
      </c>
      <c r="M83" s="130">
        <f>J83+K83+L83</f>
        <v>0</v>
      </c>
      <c r="N83" s="133"/>
      <c r="O83" s="133"/>
      <c r="P83" s="133">
        <v>20.088</v>
      </c>
      <c r="Q83" s="130">
        <f>N83+O83+P83</f>
        <v>20.088</v>
      </c>
      <c r="R83" s="133">
        <v>20.082</v>
      </c>
      <c r="S83" s="133"/>
      <c r="T83" s="133"/>
      <c r="U83" s="130">
        <f>R83+S83+T83</f>
        <v>20.082</v>
      </c>
    </row>
    <row r="84" spans="1:21" ht="14.25" customHeight="1">
      <c r="A84" s="88" t="s">
        <v>94</v>
      </c>
      <c r="B84" s="39">
        <v>111</v>
      </c>
      <c r="C84" s="40" t="s">
        <v>95</v>
      </c>
      <c r="D84" s="41"/>
      <c r="E84" s="130">
        <f>I84+M84+Q84+U84</f>
        <v>12.129999999999999</v>
      </c>
      <c r="F84" s="133"/>
      <c r="G84" s="133"/>
      <c r="H84" s="133"/>
      <c r="I84" s="130">
        <f>F84+G84+H84</f>
        <v>0</v>
      </c>
      <c r="J84" s="133"/>
      <c r="K84" s="133"/>
      <c r="L84" s="133">
        <f>12.13-12.13</f>
        <v>0</v>
      </c>
      <c r="M84" s="130">
        <f>J84+K84+L84</f>
        <v>0</v>
      </c>
      <c r="N84" s="133"/>
      <c r="O84" s="133"/>
      <c r="P84" s="133">
        <v>6.06656</v>
      </c>
      <c r="Q84" s="130">
        <f>N84+O84+P84</f>
        <v>6.06656</v>
      </c>
      <c r="R84" s="133">
        <v>6.06344</v>
      </c>
      <c r="S84" s="133"/>
      <c r="T84" s="133"/>
      <c r="U84" s="130">
        <f>R84+S84+T84</f>
        <v>6.06344</v>
      </c>
    </row>
    <row r="85" spans="1:21" ht="45" customHeight="1">
      <c r="A85" s="89" t="s">
        <v>222</v>
      </c>
      <c r="B85" s="42">
        <v>200</v>
      </c>
      <c r="C85" s="43"/>
      <c r="D85" s="44"/>
      <c r="E85" s="123">
        <f t="shared" si="28"/>
        <v>207.29281</v>
      </c>
      <c r="F85" s="120">
        <f>F86+F87+F88</f>
        <v>0</v>
      </c>
      <c r="G85" s="120">
        <f>G86+G87+G88</f>
        <v>0</v>
      </c>
      <c r="H85" s="120">
        <f>H86+H87+H88</f>
        <v>0</v>
      </c>
      <c r="I85" s="123">
        <f t="shared" si="32"/>
        <v>0</v>
      </c>
      <c r="J85" s="227">
        <f>J86+J87+J88</f>
        <v>0</v>
      </c>
      <c r="K85" s="227">
        <f>K86+K87+K88</f>
        <v>0</v>
      </c>
      <c r="L85" s="227">
        <f>L86+L87+L88</f>
        <v>0</v>
      </c>
      <c r="M85" s="123">
        <f t="shared" si="29"/>
        <v>0</v>
      </c>
      <c r="N85" s="227">
        <f>N86+N87+N88</f>
        <v>1.46304</v>
      </c>
      <c r="O85" s="227">
        <f>O86+O87+O88</f>
        <v>0</v>
      </c>
      <c r="P85" s="227">
        <f>P86+P87+P88</f>
        <v>0</v>
      </c>
      <c r="Q85" s="120">
        <f t="shared" si="30"/>
        <v>1.46304</v>
      </c>
      <c r="R85" s="120">
        <f>R86+R87+R88</f>
        <v>205.82977</v>
      </c>
      <c r="S85" s="120">
        <f>S86+S87+S88</f>
        <v>0</v>
      </c>
      <c r="T85" s="120">
        <f>T86+T87+T88</f>
        <v>0</v>
      </c>
      <c r="U85" s="123">
        <f t="shared" si="31"/>
        <v>205.82977</v>
      </c>
    </row>
    <row r="86" spans="1:21" ht="12.75">
      <c r="A86" s="88" t="s">
        <v>223</v>
      </c>
      <c r="B86" s="39">
        <v>244</v>
      </c>
      <c r="C86" s="40" t="s">
        <v>101</v>
      </c>
      <c r="D86" s="41"/>
      <c r="E86" s="122">
        <f t="shared" si="28"/>
        <v>1.7973</v>
      </c>
      <c r="F86" s="117">
        <v>0</v>
      </c>
      <c r="G86" s="117">
        <v>0</v>
      </c>
      <c r="H86" s="117">
        <v>0</v>
      </c>
      <c r="I86" s="122">
        <f t="shared" si="32"/>
        <v>0</v>
      </c>
      <c r="J86" s="133"/>
      <c r="K86" s="133"/>
      <c r="L86" s="133">
        <f>0.3973-0.3973</f>
        <v>0</v>
      </c>
      <c r="M86" s="122">
        <f t="shared" si="29"/>
        <v>0</v>
      </c>
      <c r="N86" s="133">
        <v>1.46304</v>
      </c>
      <c r="O86" s="133">
        <v>0</v>
      </c>
      <c r="P86" s="133">
        <v>0</v>
      </c>
      <c r="Q86" s="122">
        <f t="shared" si="30"/>
        <v>1.46304</v>
      </c>
      <c r="R86" s="117">
        <v>0.33426</v>
      </c>
      <c r="S86" s="117">
        <v>0</v>
      </c>
      <c r="T86" s="117">
        <v>0</v>
      </c>
      <c r="U86" s="122">
        <f t="shared" si="31"/>
        <v>0.33426</v>
      </c>
    </row>
    <row r="87" spans="1:21" ht="15" customHeight="1">
      <c r="A87" s="88" t="s">
        <v>224</v>
      </c>
      <c r="B87" s="39">
        <v>244</v>
      </c>
      <c r="C87" s="40" t="s">
        <v>103</v>
      </c>
      <c r="D87" s="41"/>
      <c r="E87" s="122">
        <f t="shared" si="28"/>
        <v>5.50031</v>
      </c>
      <c r="F87" s="117">
        <v>0</v>
      </c>
      <c r="G87" s="117">
        <v>0</v>
      </c>
      <c r="H87" s="117">
        <v>0</v>
      </c>
      <c r="I87" s="122">
        <f t="shared" si="32"/>
        <v>0</v>
      </c>
      <c r="J87" s="133">
        <v>0</v>
      </c>
      <c r="K87" s="133"/>
      <c r="L87" s="133">
        <f>5.8-0.29969-5.50031</f>
        <v>0</v>
      </c>
      <c r="M87" s="122">
        <f t="shared" si="29"/>
        <v>0</v>
      </c>
      <c r="N87" s="133"/>
      <c r="O87" s="133"/>
      <c r="P87" s="133"/>
      <c r="Q87" s="122">
        <f t="shared" si="30"/>
        <v>0</v>
      </c>
      <c r="R87" s="117">
        <v>5.50031</v>
      </c>
      <c r="S87" s="117">
        <v>0</v>
      </c>
      <c r="T87" s="117">
        <v>0</v>
      </c>
      <c r="U87" s="122">
        <f t="shared" si="31"/>
        <v>5.50031</v>
      </c>
    </row>
    <row r="88" spans="1:21" ht="15" customHeight="1">
      <c r="A88" s="88" t="s">
        <v>237</v>
      </c>
      <c r="B88" s="39">
        <v>244</v>
      </c>
      <c r="C88" s="40" t="s">
        <v>105</v>
      </c>
      <c r="D88" s="41"/>
      <c r="E88" s="122">
        <f>I88+M88+Q88+U88</f>
        <v>199.9952</v>
      </c>
      <c r="F88" s="117">
        <v>0</v>
      </c>
      <c r="G88" s="117">
        <v>0</v>
      </c>
      <c r="H88" s="117">
        <v>0</v>
      </c>
      <c r="I88" s="122">
        <f t="shared" si="32"/>
        <v>0</v>
      </c>
      <c r="J88" s="133">
        <v>0</v>
      </c>
      <c r="K88" s="133"/>
      <c r="L88" s="133">
        <f>199.9952-199.9952</f>
        <v>0</v>
      </c>
      <c r="M88" s="122">
        <f>SUM(J88:L88)</f>
        <v>0</v>
      </c>
      <c r="N88" s="133"/>
      <c r="O88" s="133"/>
      <c r="P88" s="133"/>
      <c r="Q88" s="122">
        <f>SUM(N88:P88)</f>
        <v>0</v>
      </c>
      <c r="R88" s="117">
        <v>199.9952</v>
      </c>
      <c r="S88" s="117">
        <v>0</v>
      </c>
      <c r="T88" s="117">
        <v>0</v>
      </c>
      <c r="U88" s="122">
        <f>SUM(R88:T88)</f>
        <v>199.9952</v>
      </c>
    </row>
    <row r="89" spans="1:21" ht="43.5" customHeight="1">
      <c r="A89" s="89" t="s">
        <v>213</v>
      </c>
      <c r="B89" s="42">
        <v>200</v>
      </c>
      <c r="C89" s="40"/>
      <c r="D89" s="41"/>
      <c r="E89" s="120">
        <f t="shared" si="28"/>
        <v>145</v>
      </c>
      <c r="F89" s="121">
        <f>F90</f>
        <v>0</v>
      </c>
      <c r="G89" s="121">
        <f>G90</f>
        <v>0</v>
      </c>
      <c r="H89" s="121">
        <f>H90</f>
        <v>31.186000000000007</v>
      </c>
      <c r="I89" s="120">
        <f t="shared" si="32"/>
        <v>31.186000000000007</v>
      </c>
      <c r="J89" s="160">
        <f>J90</f>
        <v>1.2502</v>
      </c>
      <c r="K89" s="160">
        <f>K90</f>
        <v>6.5968</v>
      </c>
      <c r="L89" s="160">
        <f>L90</f>
        <v>22.870019999999997</v>
      </c>
      <c r="M89" s="120">
        <f t="shared" si="29"/>
        <v>30.717019999999998</v>
      </c>
      <c r="N89" s="160">
        <f>N90</f>
        <v>13.97431</v>
      </c>
      <c r="O89" s="160">
        <f>O90</f>
        <v>2.37339</v>
      </c>
      <c r="P89" s="160">
        <f>P90</f>
        <v>12.97017</v>
      </c>
      <c r="Q89" s="120">
        <f t="shared" si="30"/>
        <v>29.31787</v>
      </c>
      <c r="R89" s="121">
        <f>R90</f>
        <v>40.43911</v>
      </c>
      <c r="S89" s="121">
        <f>S90</f>
        <v>6.670000000000002</v>
      </c>
      <c r="T89" s="121">
        <f>T90</f>
        <v>6.670000000000002</v>
      </c>
      <c r="U89" s="120">
        <f t="shared" si="31"/>
        <v>53.77911</v>
      </c>
    </row>
    <row r="90" spans="1:21" ht="15" customHeight="1">
      <c r="A90" s="88" t="s">
        <v>147</v>
      </c>
      <c r="B90" s="39"/>
      <c r="C90" s="40"/>
      <c r="D90" s="41"/>
      <c r="E90" s="109">
        <f t="shared" si="28"/>
        <v>145</v>
      </c>
      <c r="F90" s="117">
        <v>0</v>
      </c>
      <c r="G90" s="117">
        <v>0</v>
      </c>
      <c r="H90" s="117">
        <f>175-143.814</f>
        <v>31.186000000000007</v>
      </c>
      <c r="I90" s="109">
        <f t="shared" si="32"/>
        <v>31.186000000000007</v>
      </c>
      <c r="J90" s="133">
        <v>1.2502</v>
      </c>
      <c r="K90" s="133">
        <v>6.5968</v>
      </c>
      <c r="L90" s="133">
        <f>41.67+24.297-43.09698</f>
        <v>22.870019999999997</v>
      </c>
      <c r="M90" s="109">
        <f t="shared" si="29"/>
        <v>30.717019999999998</v>
      </c>
      <c r="N90" s="133">
        <v>13.97431</v>
      </c>
      <c r="O90" s="133">
        <v>2.37339</v>
      </c>
      <c r="P90" s="133">
        <v>12.97017</v>
      </c>
      <c r="Q90" s="109">
        <f t="shared" si="30"/>
        <v>29.31787</v>
      </c>
      <c r="R90" s="117">
        <f>41.66-35+35.78-2.00089</f>
        <v>40.43911</v>
      </c>
      <c r="S90" s="117">
        <f>41.67-35</f>
        <v>6.670000000000002</v>
      </c>
      <c r="T90" s="117">
        <f>41.67-35</f>
        <v>6.670000000000002</v>
      </c>
      <c r="U90" s="109">
        <f t="shared" si="31"/>
        <v>53.77911</v>
      </c>
    </row>
    <row r="91" spans="1:21" ht="22.5" customHeight="1" hidden="1">
      <c r="A91" s="89" t="s">
        <v>253</v>
      </c>
      <c r="B91" s="42">
        <v>831</v>
      </c>
      <c r="C91" s="40"/>
      <c r="D91" s="41"/>
      <c r="E91" s="120">
        <f>I91+M91+Q91+U91</f>
        <v>0</v>
      </c>
      <c r="F91" s="121">
        <f>F92</f>
        <v>0</v>
      </c>
      <c r="G91" s="121">
        <f>G92</f>
        <v>0</v>
      </c>
      <c r="H91" s="121">
        <f>H92</f>
        <v>0</v>
      </c>
      <c r="I91" s="120">
        <f t="shared" si="32"/>
        <v>0</v>
      </c>
      <c r="J91" s="160">
        <f>J92</f>
        <v>0</v>
      </c>
      <c r="K91" s="160">
        <f>K92</f>
        <v>0</v>
      </c>
      <c r="L91" s="160">
        <f>L92</f>
        <v>0</v>
      </c>
      <c r="M91" s="120">
        <f>SUM(J91:L91)</f>
        <v>0</v>
      </c>
      <c r="N91" s="160">
        <f>N92</f>
        <v>0</v>
      </c>
      <c r="O91" s="160">
        <f>O92</f>
        <v>0</v>
      </c>
      <c r="P91" s="160">
        <f>P92</f>
        <v>0</v>
      </c>
      <c r="Q91" s="120">
        <f>SUM(N91:P91)</f>
        <v>0</v>
      </c>
      <c r="R91" s="121">
        <f>R92</f>
        <v>0</v>
      </c>
      <c r="S91" s="121">
        <f>S92</f>
        <v>0</v>
      </c>
      <c r="T91" s="121">
        <f>T92</f>
        <v>0</v>
      </c>
      <c r="U91" s="120">
        <f>SUM(R91:T91)</f>
        <v>0</v>
      </c>
    </row>
    <row r="92" spans="1:21" ht="15" customHeight="1" hidden="1">
      <c r="A92" s="88" t="s">
        <v>133</v>
      </c>
      <c r="B92" s="39"/>
      <c r="C92" s="40"/>
      <c r="D92" s="41"/>
      <c r="E92" s="109">
        <f>I92+M92+Q92+U92</f>
        <v>0</v>
      </c>
      <c r="F92" s="117"/>
      <c r="G92" s="117"/>
      <c r="H92" s="117"/>
      <c r="I92" s="109">
        <f t="shared" si="32"/>
        <v>0</v>
      </c>
      <c r="J92" s="133"/>
      <c r="K92" s="133"/>
      <c r="L92" s="133"/>
      <c r="M92" s="109">
        <f>SUM(J92:L92)</f>
        <v>0</v>
      </c>
      <c r="N92" s="133"/>
      <c r="O92" s="133"/>
      <c r="P92" s="133"/>
      <c r="Q92" s="109">
        <f>SUM(N92:P92)</f>
        <v>0</v>
      </c>
      <c r="R92" s="117"/>
      <c r="S92" s="117"/>
      <c r="T92" s="117"/>
      <c r="U92" s="109">
        <f>SUM(R92:T92)</f>
        <v>0</v>
      </c>
    </row>
    <row r="93" spans="1:21" ht="22.5" customHeight="1" hidden="1">
      <c r="A93" s="89" t="s">
        <v>263</v>
      </c>
      <c r="B93" s="42">
        <v>831</v>
      </c>
      <c r="C93" s="40"/>
      <c r="D93" s="41"/>
      <c r="E93" s="120">
        <f>I93+M93+Q93+U93</f>
        <v>0</v>
      </c>
      <c r="F93" s="121">
        <f>F94</f>
        <v>0</v>
      </c>
      <c r="G93" s="121">
        <f>G94</f>
        <v>0</v>
      </c>
      <c r="H93" s="121">
        <f>H94</f>
        <v>0</v>
      </c>
      <c r="I93" s="120">
        <f t="shared" si="32"/>
        <v>0</v>
      </c>
      <c r="J93" s="160">
        <f>J94</f>
        <v>0</v>
      </c>
      <c r="K93" s="160">
        <f>K94</f>
        <v>0</v>
      </c>
      <c r="L93" s="160">
        <f>L94</f>
        <v>0</v>
      </c>
      <c r="M93" s="120">
        <f>SUM(J93:L93)</f>
        <v>0</v>
      </c>
      <c r="N93" s="160">
        <f>N94</f>
        <v>0</v>
      </c>
      <c r="O93" s="160">
        <f>O94</f>
        <v>0</v>
      </c>
      <c r="P93" s="160">
        <f>P94</f>
        <v>0</v>
      </c>
      <c r="Q93" s="120">
        <f>SUM(N93:P93)</f>
        <v>0</v>
      </c>
      <c r="R93" s="121">
        <f>R94</f>
        <v>0</v>
      </c>
      <c r="S93" s="121">
        <f>S94</f>
        <v>0</v>
      </c>
      <c r="T93" s="121">
        <f>T94</f>
        <v>0</v>
      </c>
      <c r="U93" s="120">
        <f>SUM(R93:T93)</f>
        <v>0</v>
      </c>
    </row>
    <row r="94" spans="1:21" ht="15" customHeight="1" hidden="1">
      <c r="A94" s="88" t="s">
        <v>133</v>
      </c>
      <c r="B94" s="39"/>
      <c r="C94" s="40"/>
      <c r="D94" s="41"/>
      <c r="E94" s="109">
        <f>I94+M94+Q94+U94</f>
        <v>0</v>
      </c>
      <c r="F94" s="117"/>
      <c r="G94" s="117"/>
      <c r="H94" s="117"/>
      <c r="I94" s="109">
        <f t="shared" si="32"/>
        <v>0</v>
      </c>
      <c r="J94" s="133"/>
      <c r="K94" s="133"/>
      <c r="L94" s="133"/>
      <c r="M94" s="109">
        <f>SUM(J94:L94)</f>
        <v>0</v>
      </c>
      <c r="N94" s="133"/>
      <c r="O94" s="133"/>
      <c r="P94" s="133"/>
      <c r="Q94" s="109">
        <f>SUM(N94:P94)</f>
        <v>0</v>
      </c>
      <c r="R94" s="117"/>
      <c r="S94" s="117"/>
      <c r="T94" s="117"/>
      <c r="U94" s="109">
        <f>SUM(R94:T94)</f>
        <v>0</v>
      </c>
    </row>
    <row r="95" spans="1:21" ht="57" customHeight="1">
      <c r="A95" s="89" t="s">
        <v>128</v>
      </c>
      <c r="B95" s="42"/>
      <c r="C95" s="43"/>
      <c r="D95" s="44"/>
      <c r="E95" s="116">
        <f>E96+E100</f>
        <v>528</v>
      </c>
      <c r="F95" s="116">
        <f>F96+F100</f>
        <v>7.5</v>
      </c>
      <c r="G95" s="116">
        <f>G96+G100</f>
        <v>31.278599999999997</v>
      </c>
      <c r="H95" s="116">
        <f>H96+H100</f>
        <v>31.278579999999998</v>
      </c>
      <c r="I95" s="116">
        <f t="shared" si="32"/>
        <v>70.05717999999999</v>
      </c>
      <c r="J95" s="158">
        <f aca="true" t="shared" si="33" ref="J95:U95">J96+J100</f>
        <v>47.678599999999996</v>
      </c>
      <c r="K95" s="158">
        <f t="shared" si="33"/>
        <v>42.79759</v>
      </c>
      <c r="L95" s="158">
        <f t="shared" si="33"/>
        <v>54.89363</v>
      </c>
      <c r="M95" s="116">
        <f t="shared" si="33"/>
        <v>145.36982</v>
      </c>
      <c r="N95" s="158">
        <f t="shared" si="33"/>
        <v>11.33354</v>
      </c>
      <c r="O95" s="158">
        <f t="shared" si="33"/>
        <v>48.43139</v>
      </c>
      <c r="P95" s="158">
        <f t="shared" si="33"/>
        <v>84.44636</v>
      </c>
      <c r="Q95" s="116">
        <f t="shared" si="33"/>
        <v>144.21129000000002</v>
      </c>
      <c r="R95" s="116">
        <f t="shared" si="33"/>
        <v>86.42871</v>
      </c>
      <c r="S95" s="116">
        <f t="shared" si="33"/>
        <v>40.967</v>
      </c>
      <c r="T95" s="116">
        <f t="shared" si="33"/>
        <v>40.965999999999994</v>
      </c>
      <c r="U95" s="116">
        <f t="shared" si="33"/>
        <v>168.36171000000002</v>
      </c>
    </row>
    <row r="96" spans="1:21" ht="19.5" customHeight="1">
      <c r="A96" s="88" t="s">
        <v>112</v>
      </c>
      <c r="B96" s="39">
        <v>120</v>
      </c>
      <c r="C96" s="40" t="s">
        <v>113</v>
      </c>
      <c r="D96" s="41"/>
      <c r="E96" s="109">
        <f>E97+E99</f>
        <v>476.70000000000005</v>
      </c>
      <c r="F96" s="117">
        <f>SUM(F97:F99)</f>
        <v>7.5</v>
      </c>
      <c r="G96" s="117">
        <f>SUM(G97:G99)</f>
        <v>31.278599999999997</v>
      </c>
      <c r="H96" s="117">
        <f>SUM(H97:H99)</f>
        <v>31.278579999999998</v>
      </c>
      <c r="I96" s="109">
        <f t="shared" si="32"/>
        <v>70.05717999999999</v>
      </c>
      <c r="J96" s="133">
        <f aca="true" t="shared" si="34" ref="J96:U96">SUM(J97:J99)</f>
        <v>47.678599999999996</v>
      </c>
      <c r="K96" s="133">
        <f t="shared" si="34"/>
        <v>42.79759</v>
      </c>
      <c r="L96" s="133">
        <f t="shared" si="34"/>
        <v>54.89363</v>
      </c>
      <c r="M96" s="109">
        <f t="shared" si="34"/>
        <v>145.36982</v>
      </c>
      <c r="N96" s="133">
        <f t="shared" si="34"/>
        <v>11.33354</v>
      </c>
      <c r="O96" s="133">
        <f t="shared" si="34"/>
        <v>48.43139</v>
      </c>
      <c r="P96" s="133">
        <f t="shared" si="34"/>
        <v>74.44636</v>
      </c>
      <c r="Q96" s="109">
        <f t="shared" si="34"/>
        <v>134.21129000000002</v>
      </c>
      <c r="R96" s="117">
        <f t="shared" si="34"/>
        <v>50.24171</v>
      </c>
      <c r="S96" s="117">
        <f t="shared" si="34"/>
        <v>38.41</v>
      </c>
      <c r="T96" s="117">
        <f t="shared" si="34"/>
        <v>38.41</v>
      </c>
      <c r="U96" s="109">
        <f t="shared" si="34"/>
        <v>127.06171</v>
      </c>
    </row>
    <row r="97" spans="1:21" ht="12.75">
      <c r="A97" s="88" t="s">
        <v>90</v>
      </c>
      <c r="B97" s="39">
        <v>121</v>
      </c>
      <c r="C97" s="40" t="s">
        <v>91</v>
      </c>
      <c r="D97" s="41"/>
      <c r="E97" s="109">
        <f>I97+M97+Q97+U97</f>
        <v>366.13500000000005</v>
      </c>
      <c r="F97" s="117">
        <v>7.5</v>
      </c>
      <c r="G97" s="117">
        <v>24.0235</v>
      </c>
      <c r="H97" s="117">
        <v>24.0235</v>
      </c>
      <c r="I97" s="109">
        <f t="shared" si="32"/>
        <v>55.547</v>
      </c>
      <c r="J97" s="133">
        <v>40.4235</v>
      </c>
      <c r="K97" s="133">
        <v>30.5897</v>
      </c>
      <c r="L97" s="133">
        <v>38.89835</v>
      </c>
      <c r="M97" s="109">
        <f>SUM(J97:L97)</f>
        <v>109.91155</v>
      </c>
      <c r="N97" s="133">
        <v>11.33354</v>
      </c>
      <c r="O97" s="133">
        <v>38.5349</v>
      </c>
      <c r="P97" s="133">
        <v>53.21244</v>
      </c>
      <c r="Q97" s="109">
        <f>SUM(N97:P97)</f>
        <v>103.08088000000001</v>
      </c>
      <c r="R97" s="117">
        <f>29.5+41.84291-32.74734</f>
        <v>38.59557</v>
      </c>
      <c r="S97" s="117">
        <v>29.5</v>
      </c>
      <c r="T97" s="117">
        <v>29.5</v>
      </c>
      <c r="U97" s="109">
        <f>SUM(R97:T97)</f>
        <v>97.59557000000001</v>
      </c>
    </row>
    <row r="98" spans="1:21" ht="12.75" hidden="1">
      <c r="A98" s="88" t="s">
        <v>92</v>
      </c>
      <c r="B98" s="39"/>
      <c r="C98" s="40" t="s">
        <v>93</v>
      </c>
      <c r="D98" s="41"/>
      <c r="E98" s="109">
        <f>I98+M98+Q98+U98</f>
        <v>0</v>
      </c>
      <c r="F98" s="117"/>
      <c r="G98" s="117"/>
      <c r="H98" s="117"/>
      <c r="I98" s="109">
        <f t="shared" si="32"/>
        <v>0</v>
      </c>
      <c r="J98" s="133"/>
      <c r="K98" s="133"/>
      <c r="L98" s="133"/>
      <c r="M98" s="109">
        <f>SUM(J98:L98)</f>
        <v>0</v>
      </c>
      <c r="N98" s="133"/>
      <c r="O98" s="133"/>
      <c r="P98" s="133"/>
      <c r="Q98" s="109">
        <f>SUM(N98:P98)</f>
        <v>0</v>
      </c>
      <c r="R98" s="117"/>
      <c r="S98" s="117"/>
      <c r="T98" s="117"/>
      <c r="U98" s="109">
        <f>SUM(R98:T98)</f>
        <v>0</v>
      </c>
    </row>
    <row r="99" spans="1:21" ht="15" customHeight="1">
      <c r="A99" s="88" t="s">
        <v>94</v>
      </c>
      <c r="B99" s="39">
        <v>121</v>
      </c>
      <c r="C99" s="40" t="s">
        <v>95</v>
      </c>
      <c r="D99" s="41"/>
      <c r="E99" s="109">
        <f>I99+M99+Q99+U99</f>
        <v>110.565</v>
      </c>
      <c r="F99" s="117">
        <v>0</v>
      </c>
      <c r="G99" s="117">
        <v>7.2551</v>
      </c>
      <c r="H99" s="117">
        <v>7.25508</v>
      </c>
      <c r="I99" s="109">
        <f aca="true" t="shared" si="35" ref="I99:I104">SUM(F99:H99)</f>
        <v>14.51018</v>
      </c>
      <c r="J99" s="133">
        <v>7.2551</v>
      </c>
      <c r="K99" s="133">
        <v>12.20789</v>
      </c>
      <c r="L99" s="133">
        <v>15.99528</v>
      </c>
      <c r="M99" s="109">
        <f>SUM(J99:L99)</f>
        <v>35.45827</v>
      </c>
      <c r="N99" s="133"/>
      <c r="O99" s="133">
        <v>9.89649</v>
      </c>
      <c r="P99" s="133">
        <v>21.23392</v>
      </c>
      <c r="Q99" s="109">
        <f aca="true" t="shared" si="36" ref="Q99:Q113">SUM(N99:P99)</f>
        <v>31.13041</v>
      </c>
      <c r="R99" s="117">
        <f>8.91+2.73614</f>
        <v>11.646139999999999</v>
      </c>
      <c r="S99" s="117">
        <v>8.91</v>
      </c>
      <c r="T99" s="117">
        <v>8.91</v>
      </c>
      <c r="U99" s="109">
        <f aca="true" t="shared" si="37" ref="U99:U104">SUM(R99:T99)</f>
        <v>29.46614</v>
      </c>
    </row>
    <row r="100" spans="1:21" ht="19.5" customHeight="1">
      <c r="A100" s="88" t="s">
        <v>114</v>
      </c>
      <c r="B100" s="39">
        <v>240</v>
      </c>
      <c r="C100" s="40" t="s">
        <v>115</v>
      </c>
      <c r="D100" s="41"/>
      <c r="E100" s="109">
        <f>E101+E102</f>
        <v>51.300000000000004</v>
      </c>
      <c r="F100" s="117">
        <f>F101+F102</f>
        <v>0</v>
      </c>
      <c r="G100" s="117">
        <f>G101+G102</f>
        <v>0</v>
      </c>
      <c r="H100" s="117">
        <f>H101+H102</f>
        <v>0</v>
      </c>
      <c r="I100" s="109">
        <f t="shared" si="35"/>
        <v>0</v>
      </c>
      <c r="J100" s="133">
        <f aca="true" t="shared" si="38" ref="J100:P100">J101+J102</f>
        <v>0</v>
      </c>
      <c r="K100" s="133">
        <f t="shared" si="38"/>
        <v>0</v>
      </c>
      <c r="L100" s="133">
        <f t="shared" si="38"/>
        <v>0</v>
      </c>
      <c r="M100" s="109">
        <f t="shared" si="38"/>
        <v>0</v>
      </c>
      <c r="N100" s="133">
        <f t="shared" si="38"/>
        <v>0</v>
      </c>
      <c r="O100" s="133">
        <f t="shared" si="38"/>
        <v>0</v>
      </c>
      <c r="P100" s="133">
        <f t="shared" si="38"/>
        <v>10</v>
      </c>
      <c r="Q100" s="109">
        <f t="shared" si="36"/>
        <v>10</v>
      </c>
      <c r="R100" s="117">
        <f>R101+R102</f>
        <v>36.187000000000005</v>
      </c>
      <c r="S100" s="117">
        <f>S101+S102</f>
        <v>2.5570000000000004</v>
      </c>
      <c r="T100" s="117">
        <f>T101+T102</f>
        <v>2.556</v>
      </c>
      <c r="U100" s="109">
        <f t="shared" si="37"/>
        <v>41.300000000000004</v>
      </c>
    </row>
    <row r="101" spans="1:21" ht="13.5" customHeight="1" hidden="1">
      <c r="A101" s="88" t="s">
        <v>108</v>
      </c>
      <c r="B101" s="39"/>
      <c r="C101" s="40" t="s">
        <v>109</v>
      </c>
      <c r="D101" s="41"/>
      <c r="E101" s="109">
        <f>I101+M101+Q101+U101</f>
        <v>0</v>
      </c>
      <c r="F101" s="117"/>
      <c r="G101" s="117"/>
      <c r="H101" s="117"/>
      <c r="I101" s="109">
        <f t="shared" si="35"/>
        <v>0</v>
      </c>
      <c r="J101" s="133"/>
      <c r="K101" s="133"/>
      <c r="L101" s="133"/>
      <c r="M101" s="109">
        <f aca="true" t="shared" si="39" ref="M101:M116">SUM(J101:L101)</f>
        <v>0</v>
      </c>
      <c r="N101" s="133"/>
      <c r="O101" s="133"/>
      <c r="P101" s="133"/>
      <c r="Q101" s="109">
        <f t="shared" si="36"/>
        <v>0</v>
      </c>
      <c r="R101" s="117"/>
      <c r="S101" s="117"/>
      <c r="T101" s="117"/>
      <c r="U101" s="109">
        <f t="shared" si="37"/>
        <v>0</v>
      </c>
    </row>
    <row r="102" spans="1:21" ht="15" customHeight="1">
      <c r="A102" s="88" t="s">
        <v>110</v>
      </c>
      <c r="B102" s="39">
        <v>240</v>
      </c>
      <c r="C102" s="40" t="s">
        <v>111</v>
      </c>
      <c r="D102" s="41"/>
      <c r="E102" s="109">
        <f>E103</f>
        <v>51.300000000000004</v>
      </c>
      <c r="F102" s="117">
        <f>F103</f>
        <v>0</v>
      </c>
      <c r="G102" s="117">
        <f>G103</f>
        <v>0</v>
      </c>
      <c r="H102" s="117">
        <f>H103</f>
        <v>0</v>
      </c>
      <c r="I102" s="109">
        <f t="shared" si="35"/>
        <v>0</v>
      </c>
      <c r="J102" s="133">
        <f>J103</f>
        <v>0</v>
      </c>
      <c r="K102" s="133">
        <f>K103</f>
        <v>0</v>
      </c>
      <c r="L102" s="133">
        <f>L103</f>
        <v>0</v>
      </c>
      <c r="M102" s="109">
        <f t="shared" si="39"/>
        <v>0</v>
      </c>
      <c r="N102" s="133">
        <f>N103</f>
        <v>0</v>
      </c>
      <c r="O102" s="133">
        <f>O103</f>
        <v>0</v>
      </c>
      <c r="P102" s="133">
        <f>P103</f>
        <v>10</v>
      </c>
      <c r="Q102" s="109">
        <f t="shared" si="36"/>
        <v>10</v>
      </c>
      <c r="R102" s="117">
        <f>R103</f>
        <v>36.187000000000005</v>
      </c>
      <c r="S102" s="117">
        <f>S103</f>
        <v>2.5570000000000004</v>
      </c>
      <c r="T102" s="117">
        <f>T103</f>
        <v>2.556</v>
      </c>
      <c r="U102" s="109">
        <f t="shared" si="37"/>
        <v>41.300000000000004</v>
      </c>
    </row>
    <row r="103" spans="1:21" ht="12.75" customHeight="1">
      <c r="A103" s="88" t="s">
        <v>116</v>
      </c>
      <c r="B103" s="39">
        <v>244</v>
      </c>
      <c r="C103" s="40" t="s">
        <v>123</v>
      </c>
      <c r="D103" s="41"/>
      <c r="E103" s="109">
        <f aca="true" t="shared" si="40" ref="E103:E120">I103+M103+Q103+U103</f>
        <v>51.300000000000004</v>
      </c>
      <c r="F103" s="117"/>
      <c r="G103" s="117">
        <v>0</v>
      </c>
      <c r="H103" s="117">
        <v>0</v>
      </c>
      <c r="I103" s="109">
        <f t="shared" si="35"/>
        <v>0</v>
      </c>
      <c r="J103" s="133"/>
      <c r="K103" s="133"/>
      <c r="L103" s="133"/>
      <c r="M103" s="109">
        <f t="shared" si="39"/>
        <v>0</v>
      </c>
      <c r="N103" s="133"/>
      <c r="O103" s="133"/>
      <c r="P103" s="133">
        <v>10</v>
      </c>
      <c r="Q103" s="109">
        <f t="shared" si="36"/>
        <v>10</v>
      </c>
      <c r="R103" s="117">
        <f>4.28-1.723+33.63</f>
        <v>36.187000000000005</v>
      </c>
      <c r="S103" s="117">
        <f>4.28-1.723</f>
        <v>2.5570000000000004</v>
      </c>
      <c r="T103" s="117">
        <f>4.28-1.724</f>
        <v>2.556</v>
      </c>
      <c r="U103" s="109">
        <f t="shared" si="37"/>
        <v>41.300000000000004</v>
      </c>
    </row>
    <row r="104" spans="1:21" ht="27" customHeight="1">
      <c r="A104" s="89" t="s">
        <v>172</v>
      </c>
      <c r="B104" s="42"/>
      <c r="C104" s="43"/>
      <c r="D104" s="44"/>
      <c r="E104" s="116">
        <f t="shared" si="40"/>
        <v>874.01</v>
      </c>
      <c r="F104" s="116">
        <f>F105+F109+F107</f>
        <v>209.7</v>
      </c>
      <c r="G104" s="116">
        <f>G105+G109+G107</f>
        <v>0</v>
      </c>
      <c r="H104" s="116">
        <f>H105+H109+H107</f>
        <v>0</v>
      </c>
      <c r="I104" s="116">
        <f t="shared" si="35"/>
        <v>209.7</v>
      </c>
      <c r="J104" s="158">
        <f>J105+J109+J107</f>
        <v>209.8</v>
      </c>
      <c r="K104" s="158">
        <f>K105+K109+K107</f>
        <v>0</v>
      </c>
      <c r="L104" s="158">
        <f>L105+L109+L107</f>
        <v>0</v>
      </c>
      <c r="M104" s="116">
        <f t="shared" si="39"/>
        <v>209.8</v>
      </c>
      <c r="N104" s="158">
        <f>N105+N109+N107</f>
        <v>209.7</v>
      </c>
      <c r="O104" s="158">
        <f>O105+O109+O107</f>
        <v>0</v>
      </c>
      <c r="P104" s="158">
        <f>P105+P109+P107</f>
        <v>0</v>
      </c>
      <c r="Q104" s="116">
        <f t="shared" si="36"/>
        <v>209.7</v>
      </c>
      <c r="R104" s="116">
        <f>R105+R109+R107</f>
        <v>35</v>
      </c>
      <c r="S104" s="116">
        <f>S105+S109+S107</f>
        <v>209.81</v>
      </c>
      <c r="T104" s="116">
        <f>T105+T109+T107</f>
        <v>0</v>
      </c>
      <c r="U104" s="116">
        <f t="shared" si="37"/>
        <v>244.81</v>
      </c>
    </row>
    <row r="105" spans="1:21" ht="63.75" customHeight="1" hidden="1">
      <c r="A105" s="89" t="s">
        <v>174</v>
      </c>
      <c r="B105" s="42">
        <v>500</v>
      </c>
      <c r="C105" s="43"/>
      <c r="D105" s="44"/>
      <c r="E105" s="109">
        <f t="shared" si="40"/>
        <v>0</v>
      </c>
      <c r="F105" s="117">
        <f>F106</f>
        <v>0</v>
      </c>
      <c r="G105" s="117">
        <f>G106</f>
        <v>0</v>
      </c>
      <c r="H105" s="117">
        <f>H106</f>
        <v>0</v>
      </c>
      <c r="I105" s="109">
        <f aca="true" t="shared" si="41" ref="I105:I112">SUM(F105:H105)</f>
        <v>0</v>
      </c>
      <c r="J105" s="133">
        <f>J106</f>
        <v>0</v>
      </c>
      <c r="K105" s="133">
        <f>K106</f>
        <v>0</v>
      </c>
      <c r="L105" s="133">
        <f>L106</f>
        <v>0</v>
      </c>
      <c r="M105" s="109">
        <f>SUM(J105:L105)</f>
        <v>0</v>
      </c>
      <c r="N105" s="133">
        <f>N106</f>
        <v>0</v>
      </c>
      <c r="O105" s="133">
        <f>O106</f>
        <v>0</v>
      </c>
      <c r="P105" s="133">
        <f>P106</f>
        <v>0</v>
      </c>
      <c r="Q105" s="109">
        <f t="shared" si="36"/>
        <v>0</v>
      </c>
      <c r="R105" s="117">
        <f>R106</f>
        <v>0</v>
      </c>
      <c r="S105" s="117">
        <f>S106</f>
        <v>0</v>
      </c>
      <c r="T105" s="117">
        <f>T106</f>
        <v>0</v>
      </c>
      <c r="U105" s="109">
        <f aca="true" t="shared" si="42" ref="U105:U112">SUM(R105:T105)</f>
        <v>0</v>
      </c>
    </row>
    <row r="106" spans="1:21" ht="13.5" customHeight="1" hidden="1">
      <c r="A106" s="88" t="s">
        <v>173</v>
      </c>
      <c r="B106" s="39">
        <v>540</v>
      </c>
      <c r="C106" s="40" t="s">
        <v>130</v>
      </c>
      <c r="D106" s="41"/>
      <c r="E106" s="109">
        <f t="shared" si="40"/>
        <v>0</v>
      </c>
      <c r="F106" s="117"/>
      <c r="G106" s="117"/>
      <c r="H106" s="117"/>
      <c r="I106" s="109">
        <f t="shared" si="41"/>
        <v>0</v>
      </c>
      <c r="J106" s="133"/>
      <c r="K106" s="133"/>
      <c r="L106" s="133"/>
      <c r="M106" s="109">
        <f t="shared" si="39"/>
        <v>0</v>
      </c>
      <c r="N106" s="133"/>
      <c r="O106" s="133"/>
      <c r="P106" s="133"/>
      <c r="Q106" s="109">
        <f t="shared" si="36"/>
        <v>0</v>
      </c>
      <c r="R106" s="117"/>
      <c r="S106" s="117"/>
      <c r="T106" s="117"/>
      <c r="U106" s="109">
        <f t="shared" si="42"/>
        <v>0</v>
      </c>
    </row>
    <row r="107" spans="1:21" ht="66.75" customHeight="1">
      <c r="A107" s="89" t="s">
        <v>174</v>
      </c>
      <c r="B107" s="42">
        <v>500</v>
      </c>
      <c r="C107" s="43"/>
      <c r="D107" s="44"/>
      <c r="E107" s="109">
        <f>I107+M107+Q107+U107</f>
        <v>839.01</v>
      </c>
      <c r="F107" s="117">
        <f>F108</f>
        <v>209.7</v>
      </c>
      <c r="G107" s="117">
        <f>G108</f>
        <v>0</v>
      </c>
      <c r="H107" s="117">
        <f>H108</f>
        <v>0</v>
      </c>
      <c r="I107" s="109">
        <f>SUM(F107:H107)</f>
        <v>209.7</v>
      </c>
      <c r="J107" s="133">
        <f>J108</f>
        <v>209.8</v>
      </c>
      <c r="K107" s="133">
        <f>K108</f>
        <v>0</v>
      </c>
      <c r="L107" s="133">
        <f>L108</f>
        <v>0</v>
      </c>
      <c r="M107" s="109">
        <f>SUM(J107:L107)</f>
        <v>209.8</v>
      </c>
      <c r="N107" s="133">
        <f>N108</f>
        <v>209.7</v>
      </c>
      <c r="O107" s="133">
        <f>O108</f>
        <v>0</v>
      </c>
      <c r="P107" s="133">
        <f>P108</f>
        <v>0</v>
      </c>
      <c r="Q107" s="109">
        <f>SUM(N107:P107)</f>
        <v>209.7</v>
      </c>
      <c r="R107" s="117">
        <f>R108</f>
        <v>0</v>
      </c>
      <c r="S107" s="117">
        <f>S108</f>
        <v>209.81</v>
      </c>
      <c r="T107" s="117">
        <f>T108</f>
        <v>0</v>
      </c>
      <c r="U107" s="109">
        <f>SUM(R107:T107)</f>
        <v>209.81</v>
      </c>
    </row>
    <row r="108" spans="1:21" ht="13.5" customHeight="1">
      <c r="A108" s="88" t="s">
        <v>173</v>
      </c>
      <c r="B108" s="39">
        <v>540</v>
      </c>
      <c r="C108" s="40" t="s">
        <v>130</v>
      </c>
      <c r="D108" s="41"/>
      <c r="E108" s="109">
        <f>I108+M108+Q108+U108</f>
        <v>839.01</v>
      </c>
      <c r="F108" s="117">
        <v>209.7</v>
      </c>
      <c r="G108" s="117">
        <v>0</v>
      </c>
      <c r="H108" s="117"/>
      <c r="I108" s="109">
        <f>SUM(F108:H108)</f>
        <v>209.7</v>
      </c>
      <c r="J108" s="133">
        <v>209.8</v>
      </c>
      <c r="K108" s="133">
        <v>0</v>
      </c>
      <c r="L108" s="133">
        <v>0</v>
      </c>
      <c r="M108" s="109">
        <f>SUM(J108:L108)</f>
        <v>209.8</v>
      </c>
      <c r="N108" s="133">
        <v>209.7</v>
      </c>
      <c r="O108" s="133">
        <v>0</v>
      </c>
      <c r="P108" s="133">
        <v>0</v>
      </c>
      <c r="Q108" s="109">
        <f>SUM(N108:P108)</f>
        <v>209.7</v>
      </c>
      <c r="R108" s="117">
        <v>0</v>
      </c>
      <c r="S108" s="117">
        <v>209.81</v>
      </c>
      <c r="T108" s="117">
        <v>0</v>
      </c>
      <c r="U108" s="109">
        <f>SUM(R108:T108)</f>
        <v>209.81</v>
      </c>
    </row>
    <row r="109" spans="1:21" ht="43.5" customHeight="1">
      <c r="A109" s="89" t="s">
        <v>175</v>
      </c>
      <c r="B109" s="42">
        <v>200</v>
      </c>
      <c r="C109" s="40"/>
      <c r="D109" s="41"/>
      <c r="E109" s="109">
        <f t="shared" si="40"/>
        <v>35</v>
      </c>
      <c r="F109" s="117">
        <f aca="true" t="shared" si="43" ref="F109:H110">F110</f>
        <v>0</v>
      </c>
      <c r="G109" s="117">
        <f t="shared" si="43"/>
        <v>0</v>
      </c>
      <c r="H109" s="117">
        <f t="shared" si="43"/>
        <v>0</v>
      </c>
      <c r="I109" s="109">
        <f t="shared" si="41"/>
        <v>0</v>
      </c>
      <c r="J109" s="133">
        <f aca="true" t="shared" si="44" ref="J109:L110">J110</f>
        <v>0</v>
      </c>
      <c r="K109" s="133">
        <f t="shared" si="44"/>
        <v>0</v>
      </c>
      <c r="L109" s="133">
        <f t="shared" si="44"/>
        <v>0</v>
      </c>
      <c r="M109" s="109">
        <f>SUM(J109:L109)</f>
        <v>0</v>
      </c>
      <c r="N109" s="133">
        <f aca="true" t="shared" si="45" ref="N109:P110">N110</f>
        <v>0</v>
      </c>
      <c r="O109" s="133">
        <f t="shared" si="45"/>
        <v>0</v>
      </c>
      <c r="P109" s="133">
        <f t="shared" si="45"/>
        <v>0</v>
      </c>
      <c r="Q109" s="109">
        <f t="shared" si="36"/>
        <v>0</v>
      </c>
      <c r="R109" s="117">
        <f aca="true" t="shared" si="46" ref="R109:T110">R110</f>
        <v>35</v>
      </c>
      <c r="S109" s="117">
        <f t="shared" si="46"/>
        <v>0</v>
      </c>
      <c r="T109" s="117">
        <f t="shared" si="46"/>
        <v>0</v>
      </c>
      <c r="U109" s="109">
        <f t="shared" si="42"/>
        <v>35</v>
      </c>
    </row>
    <row r="110" spans="1:21" ht="54" customHeight="1">
      <c r="A110" s="90" t="s">
        <v>176</v>
      </c>
      <c r="B110" s="39">
        <v>240</v>
      </c>
      <c r="C110" s="40"/>
      <c r="D110" s="41"/>
      <c r="E110" s="122">
        <f t="shared" si="40"/>
        <v>35</v>
      </c>
      <c r="F110" s="118">
        <f t="shared" si="43"/>
        <v>0</v>
      </c>
      <c r="G110" s="118">
        <f t="shared" si="43"/>
        <v>0</v>
      </c>
      <c r="H110" s="118">
        <f t="shared" si="43"/>
        <v>0</v>
      </c>
      <c r="I110" s="122">
        <f t="shared" si="41"/>
        <v>0</v>
      </c>
      <c r="J110" s="134">
        <f t="shared" si="44"/>
        <v>0</v>
      </c>
      <c r="K110" s="134">
        <f t="shared" si="44"/>
        <v>0</v>
      </c>
      <c r="L110" s="134">
        <f t="shared" si="44"/>
        <v>0</v>
      </c>
      <c r="M110" s="122">
        <f>SUM(J110:L110)</f>
        <v>0</v>
      </c>
      <c r="N110" s="134">
        <f t="shared" si="45"/>
        <v>0</v>
      </c>
      <c r="O110" s="134">
        <f t="shared" si="45"/>
        <v>0</v>
      </c>
      <c r="P110" s="134">
        <f t="shared" si="45"/>
        <v>0</v>
      </c>
      <c r="Q110" s="122">
        <f t="shared" si="36"/>
        <v>0</v>
      </c>
      <c r="R110" s="118">
        <f t="shared" si="46"/>
        <v>35</v>
      </c>
      <c r="S110" s="118">
        <f t="shared" si="46"/>
        <v>0</v>
      </c>
      <c r="T110" s="118">
        <f t="shared" si="46"/>
        <v>0</v>
      </c>
      <c r="U110" s="122">
        <f t="shared" si="42"/>
        <v>35</v>
      </c>
    </row>
    <row r="111" spans="1:21" ht="21.75" customHeight="1">
      <c r="A111" s="88" t="s">
        <v>146</v>
      </c>
      <c r="B111" s="39">
        <v>244</v>
      </c>
      <c r="C111" s="40"/>
      <c r="D111" s="41"/>
      <c r="E111" s="117">
        <f t="shared" si="40"/>
        <v>35</v>
      </c>
      <c r="F111" s="117">
        <v>0</v>
      </c>
      <c r="G111" s="117">
        <v>0</v>
      </c>
      <c r="H111" s="117">
        <v>0</v>
      </c>
      <c r="I111" s="109">
        <f t="shared" si="41"/>
        <v>0</v>
      </c>
      <c r="J111" s="133">
        <v>0</v>
      </c>
      <c r="K111" s="133">
        <v>0</v>
      </c>
      <c r="L111" s="133">
        <v>0</v>
      </c>
      <c r="M111" s="109">
        <f>SUM(J111:L111)</f>
        <v>0</v>
      </c>
      <c r="N111" s="133">
        <v>0</v>
      </c>
      <c r="O111" s="133">
        <v>0</v>
      </c>
      <c r="P111" s="133">
        <v>0</v>
      </c>
      <c r="Q111" s="109">
        <f t="shared" si="36"/>
        <v>0</v>
      </c>
      <c r="R111" s="117">
        <v>35</v>
      </c>
      <c r="S111" s="117">
        <v>0</v>
      </c>
      <c r="T111" s="117">
        <v>0</v>
      </c>
      <c r="U111" s="109">
        <f t="shared" si="42"/>
        <v>35</v>
      </c>
    </row>
    <row r="112" spans="1:21" ht="17.25" customHeight="1">
      <c r="A112" s="89" t="s">
        <v>148</v>
      </c>
      <c r="B112" s="42"/>
      <c r="C112" s="40"/>
      <c r="D112" s="41"/>
      <c r="E112" s="116">
        <f>I112+M112+Q112+U112</f>
        <v>15224.421910000001</v>
      </c>
      <c r="F112" s="119">
        <f>F116+F137+F163+F146+F113+F143+F165</f>
        <v>0</v>
      </c>
      <c r="G112" s="119">
        <f>G116+G137+G163+G146+G113+G143+G165</f>
        <v>50</v>
      </c>
      <c r="H112" s="119">
        <f>H116+H137+H163+H146+H113+H143+H165</f>
        <v>216.0260800000001</v>
      </c>
      <c r="I112" s="116">
        <f t="shared" si="41"/>
        <v>266.0260800000001</v>
      </c>
      <c r="J112" s="119">
        <f>J116+J137+J163+J146+J113+J143+J165</f>
        <v>253.22</v>
      </c>
      <c r="K112" s="119">
        <f>K116+K137+K163+K146+K113+K143+K165</f>
        <v>206.608</v>
      </c>
      <c r="L112" s="161">
        <f>L116+L137+L163+L146+L113+L143+L165</f>
        <v>206.60799999999995</v>
      </c>
      <c r="M112" s="116">
        <f t="shared" si="39"/>
        <v>666.4359999999999</v>
      </c>
      <c r="N112" s="161">
        <f>N116+N137+N163+N146+N113+N143+N165</f>
        <v>886.741</v>
      </c>
      <c r="O112" s="161">
        <f>O116+O137+O163+O146+O113+O143+O165</f>
        <v>8346.181</v>
      </c>
      <c r="P112" s="161">
        <f>P116+P137+P163+P146+P113+P143+P165</f>
        <v>206.61</v>
      </c>
      <c r="Q112" s="116">
        <f t="shared" si="36"/>
        <v>9439.532000000001</v>
      </c>
      <c r="R112" s="119">
        <f>R116+R137+R163+R146+R113+R143+R165</f>
        <v>3851.80783</v>
      </c>
      <c r="S112" s="119">
        <f>S116+S137+S163+S146+S113+S143+S165</f>
        <v>900.31</v>
      </c>
      <c r="T112" s="119">
        <f>T116+T137+T163+T146+T113+T143+T165</f>
        <v>100.31</v>
      </c>
      <c r="U112" s="116">
        <f t="shared" si="42"/>
        <v>4852.4278300000005</v>
      </c>
    </row>
    <row r="113" spans="1:21" ht="34.5" customHeight="1" hidden="1">
      <c r="A113" s="89" t="s">
        <v>190</v>
      </c>
      <c r="B113" s="42">
        <v>200</v>
      </c>
      <c r="C113" s="40"/>
      <c r="D113" s="41"/>
      <c r="E113" s="109">
        <f t="shared" si="40"/>
        <v>0</v>
      </c>
      <c r="F113" s="117">
        <f aca="true" t="shared" si="47" ref="F113:H114">F114</f>
        <v>0</v>
      </c>
      <c r="G113" s="117">
        <f t="shared" si="47"/>
        <v>0</v>
      </c>
      <c r="H113" s="117">
        <v>0</v>
      </c>
      <c r="I113" s="109">
        <f>SUM(F113:H113)</f>
        <v>0</v>
      </c>
      <c r="J113" s="133">
        <f aca="true" t="shared" si="48" ref="J113:L114">J114</f>
        <v>0</v>
      </c>
      <c r="K113" s="133">
        <f t="shared" si="48"/>
        <v>0</v>
      </c>
      <c r="L113" s="133">
        <f t="shared" si="48"/>
        <v>0</v>
      </c>
      <c r="M113" s="109">
        <f t="shared" si="39"/>
        <v>0</v>
      </c>
      <c r="N113" s="133">
        <f aca="true" t="shared" si="49" ref="N113:P114">N114</f>
        <v>0</v>
      </c>
      <c r="O113" s="133">
        <f t="shared" si="49"/>
        <v>0</v>
      </c>
      <c r="P113" s="133">
        <f t="shared" si="49"/>
        <v>0</v>
      </c>
      <c r="Q113" s="109">
        <f t="shared" si="36"/>
        <v>0</v>
      </c>
      <c r="R113" s="117">
        <f aca="true" t="shared" si="50" ref="R113:T114">R114</f>
        <v>0</v>
      </c>
      <c r="S113" s="117">
        <f t="shared" si="50"/>
        <v>0</v>
      </c>
      <c r="T113" s="117">
        <f t="shared" si="50"/>
        <v>0</v>
      </c>
      <c r="U113" s="109">
        <f>SUM(R113:T113)</f>
        <v>0</v>
      </c>
    </row>
    <row r="114" spans="1:21" ht="43.5" customHeight="1" hidden="1">
      <c r="A114" s="90" t="s">
        <v>245</v>
      </c>
      <c r="B114" s="45">
        <v>240</v>
      </c>
      <c r="C114" s="46"/>
      <c r="D114" s="47"/>
      <c r="E114" s="109">
        <f t="shared" si="40"/>
        <v>0</v>
      </c>
      <c r="F114" s="118">
        <f t="shared" si="47"/>
        <v>0</v>
      </c>
      <c r="G114" s="118">
        <f t="shared" si="47"/>
        <v>0</v>
      </c>
      <c r="H114" s="118">
        <f t="shared" si="47"/>
        <v>0</v>
      </c>
      <c r="I114" s="122">
        <f>F114+G114+H114</f>
        <v>0</v>
      </c>
      <c r="J114" s="134">
        <f t="shared" si="48"/>
        <v>0</v>
      </c>
      <c r="K114" s="134">
        <f t="shared" si="48"/>
        <v>0</v>
      </c>
      <c r="L114" s="134">
        <f t="shared" si="48"/>
        <v>0</v>
      </c>
      <c r="M114" s="122">
        <f>J114+K114+L114</f>
        <v>0</v>
      </c>
      <c r="N114" s="134">
        <f t="shared" si="49"/>
        <v>0</v>
      </c>
      <c r="O114" s="134">
        <f t="shared" si="49"/>
        <v>0</v>
      </c>
      <c r="P114" s="134">
        <f t="shared" si="49"/>
        <v>0</v>
      </c>
      <c r="Q114" s="122">
        <f>N114+O114+P114</f>
        <v>0</v>
      </c>
      <c r="R114" s="118">
        <f t="shared" si="50"/>
        <v>0</v>
      </c>
      <c r="S114" s="118">
        <f t="shared" si="50"/>
        <v>0</v>
      </c>
      <c r="T114" s="118">
        <f t="shared" si="50"/>
        <v>0</v>
      </c>
      <c r="U114" s="122">
        <f aca="true" t="shared" si="51" ref="U114:U120">R114+S114+T114</f>
        <v>0</v>
      </c>
    </row>
    <row r="115" spans="1:21" ht="13.5" customHeight="1" hidden="1">
      <c r="A115" s="88" t="s">
        <v>147</v>
      </c>
      <c r="B115" s="39">
        <v>244</v>
      </c>
      <c r="C115" s="40" t="s">
        <v>105</v>
      </c>
      <c r="D115" s="41"/>
      <c r="E115" s="109">
        <f t="shared" si="40"/>
        <v>0</v>
      </c>
      <c r="F115" s="117"/>
      <c r="G115" s="117">
        <v>0</v>
      </c>
      <c r="H115" s="117">
        <v>0</v>
      </c>
      <c r="I115" s="122">
        <f>F115+G115+H115</f>
        <v>0</v>
      </c>
      <c r="J115" s="133"/>
      <c r="K115" s="133"/>
      <c r="L115" s="133">
        <f>99-3.69864-95.30136</f>
        <v>0</v>
      </c>
      <c r="M115" s="122">
        <f>J115+K115+L115</f>
        <v>0</v>
      </c>
      <c r="N115" s="133"/>
      <c r="O115" s="133">
        <f>95.30136-95.30136</f>
        <v>0</v>
      </c>
      <c r="P115" s="133"/>
      <c r="Q115" s="122">
        <f>N115+O115+P115</f>
        <v>0</v>
      </c>
      <c r="R115" s="117"/>
      <c r="S115" s="117"/>
      <c r="T115" s="117"/>
      <c r="U115" s="122">
        <f t="shared" si="51"/>
        <v>0</v>
      </c>
    </row>
    <row r="116" spans="1:21" ht="57" customHeight="1" hidden="1">
      <c r="A116" s="89" t="s">
        <v>171</v>
      </c>
      <c r="B116" s="42">
        <v>200</v>
      </c>
      <c r="C116" s="40"/>
      <c r="D116" s="41"/>
      <c r="E116" s="109">
        <f t="shared" si="40"/>
        <v>0</v>
      </c>
      <c r="F116" s="117">
        <f>F117+F119+F121+F125+F127+F129+F131+F123+F133+F135</f>
        <v>0</v>
      </c>
      <c r="G116" s="117">
        <f>G117+G119+G121+G125+G127+G129+G131+G123+G133+G135</f>
        <v>0</v>
      </c>
      <c r="H116" s="117">
        <f>H117+H119+H121+H125+H127+H129+H131+H123+H133+H135</f>
        <v>0</v>
      </c>
      <c r="I116" s="109">
        <f aca="true" t="shared" si="52" ref="I116:I132">F116+G116+H116</f>
        <v>0</v>
      </c>
      <c r="J116" s="133">
        <f>J117+J119+J121+J125+J127+J129+J131+J123+J133+J135</f>
        <v>0</v>
      </c>
      <c r="K116" s="133">
        <f>K117+K119+K121+K125+K127+K129+K131+K123+K133+K135</f>
        <v>0</v>
      </c>
      <c r="L116" s="133">
        <f>L117+L119+L121+L125+L127+L129+L131+L123+L133+L135</f>
        <v>0</v>
      </c>
      <c r="M116" s="109">
        <f t="shared" si="39"/>
        <v>0</v>
      </c>
      <c r="N116" s="133">
        <f>N117+N119+N121+N125+N127+N129+N131+N123+N133+N135</f>
        <v>0</v>
      </c>
      <c r="O116" s="133">
        <f>O117+O119+O121+O125+O127+O129+O131+O123+O133+O135</f>
        <v>0</v>
      </c>
      <c r="P116" s="133">
        <f>P117+P119+P121+P125+P127+P129+P131+P123+P133+P135</f>
        <v>0</v>
      </c>
      <c r="Q116" s="109">
        <f>Q117+Q119+Q121+Q125+Q127+Q129+Q131+Q123+Q133+Q136</f>
        <v>0</v>
      </c>
      <c r="R116" s="117">
        <f>R117+R119+R121+R125+R127+R129+R131+R123+R133+R135</f>
        <v>0</v>
      </c>
      <c r="S116" s="117">
        <f>S117+S119+S121+S125+S127+S129+S131+S123+S133+S135</f>
        <v>0</v>
      </c>
      <c r="T116" s="117">
        <f>T117+T119+T121+T125+T127+T129+T131+T123+T133+T135</f>
        <v>0</v>
      </c>
      <c r="U116" s="109">
        <f>R116+S116+T116</f>
        <v>0</v>
      </c>
    </row>
    <row r="117" spans="1:21" ht="45" customHeight="1" hidden="1">
      <c r="A117" s="90" t="s">
        <v>177</v>
      </c>
      <c r="B117" s="45">
        <v>240</v>
      </c>
      <c r="C117" s="46"/>
      <c r="D117" s="47"/>
      <c r="E117" s="122">
        <f>I117+M117+Q117+U117</f>
        <v>0</v>
      </c>
      <c r="F117" s="118">
        <f>F118</f>
        <v>0</v>
      </c>
      <c r="G117" s="118">
        <f>G118</f>
        <v>0</v>
      </c>
      <c r="H117" s="118">
        <f>H118</f>
        <v>0</v>
      </c>
      <c r="I117" s="122">
        <f t="shared" si="52"/>
        <v>0</v>
      </c>
      <c r="J117" s="134">
        <f>J118</f>
        <v>0</v>
      </c>
      <c r="K117" s="134">
        <f>K118</f>
        <v>0</v>
      </c>
      <c r="L117" s="134">
        <f>L118</f>
        <v>0</v>
      </c>
      <c r="M117" s="122">
        <f aca="true" t="shared" si="53" ref="M117:M139">SUM(J117:L117)</f>
        <v>0</v>
      </c>
      <c r="N117" s="134">
        <f>N118</f>
        <v>0</v>
      </c>
      <c r="O117" s="134">
        <f>O118</f>
        <v>0</v>
      </c>
      <c r="P117" s="134">
        <f>P118</f>
        <v>0</v>
      </c>
      <c r="Q117" s="122">
        <f>SUM(N117:P117)</f>
        <v>0</v>
      </c>
      <c r="R117" s="118">
        <f>R118</f>
        <v>0</v>
      </c>
      <c r="S117" s="118">
        <f>S118</f>
        <v>0</v>
      </c>
      <c r="T117" s="118">
        <f>T118</f>
        <v>0</v>
      </c>
      <c r="U117" s="122">
        <f t="shared" si="51"/>
        <v>0</v>
      </c>
    </row>
    <row r="118" spans="1:21" ht="13.5" customHeight="1" hidden="1">
      <c r="A118" s="88" t="s">
        <v>178</v>
      </c>
      <c r="B118" s="39">
        <v>244</v>
      </c>
      <c r="C118" s="40" t="s">
        <v>103</v>
      </c>
      <c r="D118" s="41"/>
      <c r="E118" s="117">
        <f t="shared" si="40"/>
        <v>0</v>
      </c>
      <c r="F118" s="117"/>
      <c r="G118" s="117"/>
      <c r="H118" s="117"/>
      <c r="I118" s="117">
        <f t="shared" si="52"/>
        <v>0</v>
      </c>
      <c r="J118" s="133"/>
      <c r="K118" s="133"/>
      <c r="L118" s="133"/>
      <c r="M118" s="117">
        <f t="shared" si="53"/>
        <v>0</v>
      </c>
      <c r="N118" s="133"/>
      <c r="O118" s="133"/>
      <c r="P118" s="133"/>
      <c r="Q118" s="117">
        <f>SUM(N118:P118)</f>
        <v>0</v>
      </c>
      <c r="R118" s="117"/>
      <c r="S118" s="117"/>
      <c r="T118" s="117"/>
      <c r="U118" s="117">
        <f t="shared" si="51"/>
        <v>0</v>
      </c>
    </row>
    <row r="119" spans="1:21" ht="54.75" customHeight="1" hidden="1">
      <c r="A119" s="90" t="s">
        <v>179</v>
      </c>
      <c r="B119" s="45">
        <v>240</v>
      </c>
      <c r="C119" s="46"/>
      <c r="D119" s="41"/>
      <c r="E119" s="122">
        <f t="shared" si="40"/>
        <v>0</v>
      </c>
      <c r="F119" s="118">
        <f>F120</f>
        <v>0</v>
      </c>
      <c r="G119" s="118">
        <f>G120</f>
        <v>0</v>
      </c>
      <c r="H119" s="118">
        <f>H120</f>
        <v>0</v>
      </c>
      <c r="I119" s="122">
        <f t="shared" si="52"/>
        <v>0</v>
      </c>
      <c r="J119" s="134">
        <f>J120</f>
        <v>0</v>
      </c>
      <c r="K119" s="134">
        <f>K120</f>
        <v>0</v>
      </c>
      <c r="L119" s="134">
        <f>L120</f>
        <v>0</v>
      </c>
      <c r="M119" s="122">
        <f t="shared" si="53"/>
        <v>0</v>
      </c>
      <c r="N119" s="134">
        <f>N120</f>
        <v>0</v>
      </c>
      <c r="O119" s="134">
        <f>O120</f>
        <v>0</v>
      </c>
      <c r="P119" s="134">
        <f>P120</f>
        <v>0</v>
      </c>
      <c r="Q119" s="122">
        <f>SUM(N119:P119)</f>
        <v>0</v>
      </c>
      <c r="R119" s="118">
        <f>R120</f>
        <v>0</v>
      </c>
      <c r="S119" s="118">
        <f>S120</f>
        <v>0</v>
      </c>
      <c r="T119" s="118">
        <f>T120</f>
        <v>0</v>
      </c>
      <c r="U119" s="122">
        <f t="shared" si="51"/>
        <v>0</v>
      </c>
    </row>
    <row r="120" spans="1:21" ht="12" customHeight="1" hidden="1">
      <c r="A120" s="88" t="s">
        <v>147</v>
      </c>
      <c r="B120" s="39">
        <v>244</v>
      </c>
      <c r="C120" s="40" t="s">
        <v>105</v>
      </c>
      <c r="D120" s="41"/>
      <c r="E120" s="117">
        <f t="shared" si="40"/>
        <v>0</v>
      </c>
      <c r="F120" s="117"/>
      <c r="G120" s="117"/>
      <c r="H120" s="117"/>
      <c r="I120" s="117">
        <f t="shared" si="52"/>
        <v>0</v>
      </c>
      <c r="J120" s="133"/>
      <c r="K120" s="133"/>
      <c r="L120" s="133"/>
      <c r="M120" s="117">
        <f t="shared" si="53"/>
        <v>0</v>
      </c>
      <c r="N120" s="133"/>
      <c r="O120" s="133"/>
      <c r="P120" s="133"/>
      <c r="Q120" s="117">
        <f>SUM(N120:P120)</f>
        <v>0</v>
      </c>
      <c r="R120" s="117"/>
      <c r="S120" s="117"/>
      <c r="T120" s="117"/>
      <c r="U120" s="117">
        <f t="shared" si="51"/>
        <v>0</v>
      </c>
    </row>
    <row r="121" spans="1:21" ht="31.5" customHeight="1" hidden="1">
      <c r="A121" s="90" t="s">
        <v>238</v>
      </c>
      <c r="B121" s="45">
        <v>240</v>
      </c>
      <c r="C121" s="46"/>
      <c r="D121" s="41"/>
      <c r="E121" s="122">
        <f aca="true" t="shared" si="54" ref="E121:E132">I121+M121+Q121+U121</f>
        <v>0</v>
      </c>
      <c r="F121" s="118">
        <f>F122</f>
        <v>0</v>
      </c>
      <c r="G121" s="118">
        <f>G122</f>
        <v>0</v>
      </c>
      <c r="H121" s="118">
        <f>H122</f>
        <v>0</v>
      </c>
      <c r="I121" s="122">
        <f t="shared" si="52"/>
        <v>0</v>
      </c>
      <c r="J121" s="134">
        <f>J122</f>
        <v>0</v>
      </c>
      <c r="K121" s="134">
        <f>K122</f>
        <v>0</v>
      </c>
      <c r="L121" s="134">
        <f>L122</f>
        <v>0</v>
      </c>
      <c r="M121" s="122">
        <f t="shared" si="53"/>
        <v>0</v>
      </c>
      <c r="N121" s="134">
        <f>N122</f>
        <v>0</v>
      </c>
      <c r="O121" s="134">
        <f>O122</f>
        <v>0</v>
      </c>
      <c r="P121" s="134">
        <f>P122</f>
        <v>0</v>
      </c>
      <c r="Q121" s="122">
        <f aca="true" t="shared" si="55" ref="Q121:Q132">SUM(N121:P121)</f>
        <v>0</v>
      </c>
      <c r="R121" s="118">
        <f>R122</f>
        <v>0</v>
      </c>
      <c r="S121" s="118">
        <f>S122</f>
        <v>0</v>
      </c>
      <c r="T121" s="118">
        <f>T122</f>
        <v>0</v>
      </c>
      <c r="U121" s="122">
        <f aca="true" t="shared" si="56" ref="U121:U132">R121+S121+T121</f>
        <v>0</v>
      </c>
    </row>
    <row r="122" spans="1:21" ht="12" customHeight="1" hidden="1">
      <c r="A122" s="88" t="s">
        <v>147</v>
      </c>
      <c r="B122" s="39">
        <v>244</v>
      </c>
      <c r="C122" s="40" t="s">
        <v>105</v>
      </c>
      <c r="D122" s="41"/>
      <c r="E122" s="117">
        <f t="shared" si="54"/>
        <v>0</v>
      </c>
      <c r="F122" s="117"/>
      <c r="G122" s="117"/>
      <c r="H122" s="117"/>
      <c r="I122" s="117">
        <f t="shared" si="52"/>
        <v>0</v>
      </c>
      <c r="J122" s="133"/>
      <c r="K122" s="133"/>
      <c r="L122" s="133"/>
      <c r="M122" s="117">
        <f t="shared" si="53"/>
        <v>0</v>
      </c>
      <c r="N122" s="133"/>
      <c r="O122" s="133"/>
      <c r="P122" s="133"/>
      <c r="Q122" s="117">
        <f t="shared" si="55"/>
        <v>0</v>
      </c>
      <c r="R122" s="117"/>
      <c r="S122" s="117"/>
      <c r="T122" s="117"/>
      <c r="U122" s="117">
        <f t="shared" si="56"/>
        <v>0</v>
      </c>
    </row>
    <row r="123" spans="1:21" ht="57.75" customHeight="1" hidden="1">
      <c r="A123" s="90" t="s">
        <v>246</v>
      </c>
      <c r="B123" s="45">
        <v>240</v>
      </c>
      <c r="C123" s="46"/>
      <c r="D123" s="41"/>
      <c r="E123" s="122">
        <f>I123+M123+Q123+U123</f>
        <v>0</v>
      </c>
      <c r="F123" s="118">
        <f>F124</f>
        <v>0</v>
      </c>
      <c r="G123" s="118">
        <f>G124</f>
        <v>0</v>
      </c>
      <c r="H123" s="118">
        <f>H124</f>
        <v>0</v>
      </c>
      <c r="I123" s="122">
        <f>F123+G123+H123</f>
        <v>0</v>
      </c>
      <c r="J123" s="134">
        <f>J124</f>
        <v>0</v>
      </c>
      <c r="K123" s="134">
        <f>K124</f>
        <v>0</v>
      </c>
      <c r="L123" s="134">
        <f>L124</f>
        <v>0</v>
      </c>
      <c r="M123" s="122">
        <f t="shared" si="53"/>
        <v>0</v>
      </c>
      <c r="N123" s="134">
        <f>N124</f>
        <v>0</v>
      </c>
      <c r="O123" s="134">
        <f>O124</f>
        <v>0</v>
      </c>
      <c r="P123" s="134">
        <f>P124</f>
        <v>0</v>
      </c>
      <c r="Q123" s="122">
        <f>SUM(N123:P123)</f>
        <v>0</v>
      </c>
      <c r="R123" s="118">
        <f>R124</f>
        <v>0</v>
      </c>
      <c r="S123" s="118">
        <f>S124</f>
        <v>0</v>
      </c>
      <c r="T123" s="118">
        <f>T124</f>
        <v>0</v>
      </c>
      <c r="U123" s="122">
        <f>R123+S123+T123</f>
        <v>0</v>
      </c>
    </row>
    <row r="124" spans="1:21" ht="12" customHeight="1" hidden="1">
      <c r="A124" s="88" t="s">
        <v>178</v>
      </c>
      <c r="B124" s="39">
        <v>244</v>
      </c>
      <c r="C124" s="40" t="s">
        <v>103</v>
      </c>
      <c r="D124" s="41"/>
      <c r="E124" s="117">
        <f>I124+M124+Q124+U124</f>
        <v>0</v>
      </c>
      <c r="F124" s="117"/>
      <c r="G124" s="117"/>
      <c r="H124" s="117"/>
      <c r="I124" s="117">
        <f>F124+G124+H124</f>
        <v>0</v>
      </c>
      <c r="J124" s="133"/>
      <c r="K124" s="133"/>
      <c r="L124" s="133"/>
      <c r="M124" s="117">
        <f t="shared" si="53"/>
        <v>0</v>
      </c>
      <c r="N124" s="133"/>
      <c r="O124" s="133"/>
      <c r="P124" s="133"/>
      <c r="Q124" s="117">
        <f>SUM(N124:P124)</f>
        <v>0</v>
      </c>
      <c r="R124" s="117"/>
      <c r="S124" s="117"/>
      <c r="T124" s="117"/>
      <c r="U124" s="117">
        <f>R124+S124+T124</f>
        <v>0</v>
      </c>
    </row>
    <row r="125" spans="1:21" ht="42" customHeight="1" hidden="1">
      <c r="A125" s="90" t="s">
        <v>239</v>
      </c>
      <c r="B125" s="45">
        <v>240</v>
      </c>
      <c r="C125" s="46"/>
      <c r="D125" s="41"/>
      <c r="E125" s="122">
        <f t="shared" si="54"/>
        <v>0</v>
      </c>
      <c r="F125" s="118">
        <f>F126</f>
        <v>0</v>
      </c>
      <c r="G125" s="118">
        <f>G126</f>
        <v>0</v>
      </c>
      <c r="H125" s="118">
        <f>H126</f>
        <v>0</v>
      </c>
      <c r="I125" s="122">
        <f t="shared" si="52"/>
        <v>0</v>
      </c>
      <c r="J125" s="134">
        <f>J126</f>
        <v>0</v>
      </c>
      <c r="K125" s="134">
        <f>K126</f>
        <v>0</v>
      </c>
      <c r="L125" s="134">
        <f>L126</f>
        <v>0</v>
      </c>
      <c r="M125" s="122">
        <f t="shared" si="53"/>
        <v>0</v>
      </c>
      <c r="N125" s="134">
        <f>N126</f>
        <v>0</v>
      </c>
      <c r="O125" s="134">
        <f>O126</f>
        <v>0</v>
      </c>
      <c r="P125" s="134">
        <f>P126</f>
        <v>0</v>
      </c>
      <c r="Q125" s="122">
        <f t="shared" si="55"/>
        <v>0</v>
      </c>
      <c r="R125" s="118">
        <f>R126</f>
        <v>0</v>
      </c>
      <c r="S125" s="118">
        <f>S126</f>
        <v>0</v>
      </c>
      <c r="T125" s="118">
        <f>T126</f>
        <v>0</v>
      </c>
      <c r="U125" s="122">
        <f t="shared" si="56"/>
        <v>0</v>
      </c>
    </row>
    <row r="126" spans="1:21" ht="12" customHeight="1" hidden="1">
      <c r="A126" s="88" t="s">
        <v>240</v>
      </c>
      <c r="B126" s="39">
        <v>244</v>
      </c>
      <c r="C126" s="40" t="s">
        <v>99</v>
      </c>
      <c r="D126" s="41"/>
      <c r="E126" s="117">
        <f t="shared" si="54"/>
        <v>0</v>
      </c>
      <c r="F126" s="117"/>
      <c r="G126" s="117"/>
      <c r="H126" s="117"/>
      <c r="I126" s="117">
        <f t="shared" si="52"/>
        <v>0</v>
      </c>
      <c r="J126" s="133"/>
      <c r="K126" s="133"/>
      <c r="L126" s="133"/>
      <c r="M126" s="117">
        <f t="shared" si="53"/>
        <v>0</v>
      </c>
      <c r="N126" s="133"/>
      <c r="O126" s="133"/>
      <c r="P126" s="133"/>
      <c r="Q126" s="117">
        <f t="shared" si="55"/>
        <v>0</v>
      </c>
      <c r="R126" s="117"/>
      <c r="S126" s="117"/>
      <c r="T126" s="117"/>
      <c r="U126" s="117">
        <f t="shared" si="56"/>
        <v>0</v>
      </c>
    </row>
    <row r="127" spans="1:21" ht="31.5" customHeight="1" hidden="1">
      <c r="A127" s="90" t="s">
        <v>241</v>
      </c>
      <c r="B127" s="45">
        <v>240</v>
      </c>
      <c r="C127" s="46"/>
      <c r="D127" s="41"/>
      <c r="E127" s="122">
        <f t="shared" si="54"/>
        <v>0</v>
      </c>
      <c r="F127" s="118">
        <f>F128</f>
        <v>0</v>
      </c>
      <c r="G127" s="118">
        <f>G128</f>
        <v>0</v>
      </c>
      <c r="H127" s="118">
        <f>H128</f>
        <v>0</v>
      </c>
      <c r="I127" s="122">
        <f t="shared" si="52"/>
        <v>0</v>
      </c>
      <c r="J127" s="134">
        <f>J128</f>
        <v>0</v>
      </c>
      <c r="K127" s="134">
        <f>K128</f>
        <v>0</v>
      </c>
      <c r="L127" s="134">
        <f>L128</f>
        <v>0</v>
      </c>
      <c r="M127" s="122">
        <f t="shared" si="53"/>
        <v>0</v>
      </c>
      <c r="N127" s="134">
        <f>N128</f>
        <v>0</v>
      </c>
      <c r="O127" s="134">
        <f>O128</f>
        <v>0</v>
      </c>
      <c r="P127" s="134">
        <f>P128</f>
        <v>0</v>
      </c>
      <c r="Q127" s="122">
        <f t="shared" si="55"/>
        <v>0</v>
      </c>
      <c r="R127" s="118">
        <f>R128</f>
        <v>0</v>
      </c>
      <c r="S127" s="118">
        <f>S128</f>
        <v>0</v>
      </c>
      <c r="T127" s="118">
        <f>T128</f>
        <v>0</v>
      </c>
      <c r="U127" s="122">
        <f t="shared" si="56"/>
        <v>0</v>
      </c>
    </row>
    <row r="128" spans="1:21" ht="12" customHeight="1" hidden="1">
      <c r="A128" s="88" t="s">
        <v>147</v>
      </c>
      <c r="B128" s="39">
        <v>244</v>
      </c>
      <c r="C128" s="40" t="s">
        <v>105</v>
      </c>
      <c r="D128" s="41"/>
      <c r="E128" s="117">
        <f t="shared" si="54"/>
        <v>0</v>
      </c>
      <c r="F128" s="117"/>
      <c r="G128" s="117"/>
      <c r="H128" s="117"/>
      <c r="I128" s="117">
        <f t="shared" si="52"/>
        <v>0</v>
      </c>
      <c r="J128" s="133"/>
      <c r="K128" s="133"/>
      <c r="L128" s="133"/>
      <c r="M128" s="117">
        <f t="shared" si="53"/>
        <v>0</v>
      </c>
      <c r="N128" s="133"/>
      <c r="O128" s="133"/>
      <c r="P128" s="133"/>
      <c r="Q128" s="117">
        <f t="shared" si="55"/>
        <v>0</v>
      </c>
      <c r="R128" s="117"/>
      <c r="S128" s="117"/>
      <c r="T128" s="117"/>
      <c r="U128" s="117">
        <f t="shared" si="56"/>
        <v>0</v>
      </c>
    </row>
    <row r="129" spans="1:21" ht="55.5" customHeight="1" hidden="1">
      <c r="A129" s="90" t="s">
        <v>242</v>
      </c>
      <c r="B129" s="45">
        <v>240</v>
      </c>
      <c r="C129" s="46"/>
      <c r="D129" s="41"/>
      <c r="E129" s="122">
        <f t="shared" si="54"/>
        <v>0</v>
      </c>
      <c r="F129" s="118">
        <f>F130</f>
        <v>0</v>
      </c>
      <c r="G129" s="118">
        <f>G130</f>
        <v>0</v>
      </c>
      <c r="H129" s="118">
        <f>H130</f>
        <v>0</v>
      </c>
      <c r="I129" s="122">
        <f t="shared" si="52"/>
        <v>0</v>
      </c>
      <c r="J129" s="134">
        <f>J130</f>
        <v>0</v>
      </c>
      <c r="K129" s="134">
        <f>K130</f>
        <v>0</v>
      </c>
      <c r="L129" s="134">
        <f>L130</f>
        <v>0</v>
      </c>
      <c r="M129" s="122">
        <f t="shared" si="53"/>
        <v>0</v>
      </c>
      <c r="N129" s="134">
        <f>N130</f>
        <v>0</v>
      </c>
      <c r="O129" s="134">
        <f>O130</f>
        <v>0</v>
      </c>
      <c r="P129" s="134">
        <f>P130</f>
        <v>0</v>
      </c>
      <c r="Q129" s="122">
        <f t="shared" si="55"/>
        <v>0</v>
      </c>
      <c r="R129" s="118">
        <f>R130</f>
        <v>0</v>
      </c>
      <c r="S129" s="118">
        <f>S130</f>
        <v>0</v>
      </c>
      <c r="T129" s="118">
        <f>T130</f>
        <v>0</v>
      </c>
      <c r="U129" s="122">
        <f t="shared" si="56"/>
        <v>0</v>
      </c>
    </row>
    <row r="130" spans="1:21" ht="12" customHeight="1" hidden="1">
      <c r="A130" s="88" t="s">
        <v>147</v>
      </c>
      <c r="B130" s="39">
        <v>244</v>
      </c>
      <c r="C130" s="40" t="s">
        <v>105</v>
      </c>
      <c r="D130" s="41"/>
      <c r="E130" s="117">
        <f t="shared" si="54"/>
        <v>0</v>
      </c>
      <c r="F130" s="117"/>
      <c r="G130" s="117"/>
      <c r="H130" s="117"/>
      <c r="I130" s="117">
        <f t="shared" si="52"/>
        <v>0</v>
      </c>
      <c r="J130" s="133"/>
      <c r="K130" s="133"/>
      <c r="L130" s="133"/>
      <c r="M130" s="117">
        <f t="shared" si="53"/>
        <v>0</v>
      </c>
      <c r="N130" s="133"/>
      <c r="O130" s="133"/>
      <c r="P130" s="133"/>
      <c r="Q130" s="117">
        <f t="shared" si="55"/>
        <v>0</v>
      </c>
      <c r="R130" s="117"/>
      <c r="S130" s="117"/>
      <c r="T130" s="117"/>
      <c r="U130" s="117">
        <f t="shared" si="56"/>
        <v>0</v>
      </c>
    </row>
    <row r="131" spans="1:21" ht="33.75" customHeight="1" hidden="1">
      <c r="A131" s="90" t="s">
        <v>243</v>
      </c>
      <c r="B131" s="45">
        <v>240</v>
      </c>
      <c r="C131" s="46"/>
      <c r="D131" s="41"/>
      <c r="E131" s="122">
        <f t="shared" si="54"/>
        <v>0</v>
      </c>
      <c r="F131" s="118">
        <f>F132</f>
        <v>0</v>
      </c>
      <c r="G131" s="118">
        <f>G132</f>
        <v>0</v>
      </c>
      <c r="H131" s="118">
        <f>H132</f>
        <v>0</v>
      </c>
      <c r="I131" s="122">
        <f t="shared" si="52"/>
        <v>0</v>
      </c>
      <c r="J131" s="134">
        <f>J132</f>
        <v>0</v>
      </c>
      <c r="K131" s="134">
        <f>K132</f>
        <v>0</v>
      </c>
      <c r="L131" s="134">
        <f>L132</f>
        <v>0</v>
      </c>
      <c r="M131" s="122">
        <f t="shared" si="53"/>
        <v>0</v>
      </c>
      <c r="N131" s="134">
        <f>N132</f>
        <v>0</v>
      </c>
      <c r="O131" s="134">
        <f>O132</f>
        <v>0</v>
      </c>
      <c r="P131" s="134">
        <f>P132</f>
        <v>0</v>
      </c>
      <c r="Q131" s="122">
        <f t="shared" si="55"/>
        <v>0</v>
      </c>
      <c r="R131" s="118">
        <f>R132</f>
        <v>0</v>
      </c>
      <c r="S131" s="118">
        <f>S132</f>
        <v>0</v>
      </c>
      <c r="T131" s="118">
        <f>T132</f>
        <v>0</v>
      </c>
      <c r="U131" s="122">
        <f t="shared" si="56"/>
        <v>0</v>
      </c>
    </row>
    <row r="132" spans="1:21" ht="12.75" customHeight="1" hidden="1">
      <c r="A132" s="88" t="s">
        <v>147</v>
      </c>
      <c r="B132" s="39">
        <v>244</v>
      </c>
      <c r="C132" s="40" t="s">
        <v>105</v>
      </c>
      <c r="D132" s="41"/>
      <c r="E132" s="117">
        <f t="shared" si="54"/>
        <v>0</v>
      </c>
      <c r="F132" s="117"/>
      <c r="G132" s="117"/>
      <c r="H132" s="117"/>
      <c r="I132" s="117">
        <f t="shared" si="52"/>
        <v>0</v>
      </c>
      <c r="J132" s="133"/>
      <c r="K132" s="133"/>
      <c r="L132" s="133"/>
      <c r="M132" s="117">
        <f t="shared" si="53"/>
        <v>0</v>
      </c>
      <c r="N132" s="133"/>
      <c r="O132" s="133"/>
      <c r="P132" s="133"/>
      <c r="Q132" s="117">
        <f t="shared" si="55"/>
        <v>0</v>
      </c>
      <c r="R132" s="117"/>
      <c r="S132" s="117"/>
      <c r="T132" s="117"/>
      <c r="U132" s="117">
        <f t="shared" si="56"/>
        <v>0</v>
      </c>
    </row>
    <row r="133" spans="1:21" ht="78" customHeight="1" hidden="1">
      <c r="A133" s="90" t="s">
        <v>254</v>
      </c>
      <c r="B133" s="45">
        <v>240</v>
      </c>
      <c r="C133" s="46"/>
      <c r="D133" s="41"/>
      <c r="E133" s="122">
        <f aca="true" t="shared" si="57" ref="E133:E139">I133+M133+Q133+U133</f>
        <v>0</v>
      </c>
      <c r="F133" s="118">
        <f>F134</f>
        <v>0</v>
      </c>
      <c r="G133" s="118">
        <f>G134</f>
        <v>0</v>
      </c>
      <c r="H133" s="118">
        <f>H134</f>
        <v>0</v>
      </c>
      <c r="I133" s="122">
        <f>F133+G133+H133</f>
        <v>0</v>
      </c>
      <c r="J133" s="134">
        <f>J134</f>
        <v>0</v>
      </c>
      <c r="K133" s="134">
        <f>K134</f>
        <v>0</v>
      </c>
      <c r="L133" s="134">
        <f>L134</f>
        <v>0</v>
      </c>
      <c r="M133" s="122">
        <f t="shared" si="53"/>
        <v>0</v>
      </c>
      <c r="N133" s="134">
        <f>N134</f>
        <v>0</v>
      </c>
      <c r="O133" s="134">
        <f>O134</f>
        <v>0</v>
      </c>
      <c r="P133" s="134">
        <f>P134</f>
        <v>0</v>
      </c>
      <c r="Q133" s="122">
        <f aca="true" t="shared" si="58" ref="Q133:Q139">SUM(N133:P133)</f>
        <v>0</v>
      </c>
      <c r="R133" s="118">
        <f>R134</f>
        <v>0</v>
      </c>
      <c r="S133" s="118">
        <f>S134</f>
        <v>0</v>
      </c>
      <c r="T133" s="118">
        <f>T134</f>
        <v>0</v>
      </c>
      <c r="U133" s="122">
        <f aca="true" t="shared" si="59" ref="U133:U139">R133+S133+T133</f>
        <v>0</v>
      </c>
    </row>
    <row r="134" spans="1:21" ht="12.75" customHeight="1" hidden="1">
      <c r="A134" s="88" t="s">
        <v>178</v>
      </c>
      <c r="B134" s="39">
        <v>244</v>
      </c>
      <c r="C134" s="40" t="s">
        <v>103</v>
      </c>
      <c r="D134" s="41"/>
      <c r="E134" s="117">
        <f t="shared" si="57"/>
        <v>0</v>
      </c>
      <c r="F134" s="117"/>
      <c r="G134" s="117"/>
      <c r="H134" s="117"/>
      <c r="I134" s="117">
        <f>F134+G134+H134</f>
        <v>0</v>
      </c>
      <c r="J134" s="133"/>
      <c r="K134" s="133"/>
      <c r="L134" s="133"/>
      <c r="M134" s="117">
        <f t="shared" si="53"/>
        <v>0</v>
      </c>
      <c r="N134" s="133"/>
      <c r="O134" s="133"/>
      <c r="P134" s="133"/>
      <c r="Q134" s="117">
        <f t="shared" si="58"/>
        <v>0</v>
      </c>
      <c r="R134" s="117"/>
      <c r="S134" s="117"/>
      <c r="T134" s="117"/>
      <c r="U134" s="117">
        <f t="shared" si="59"/>
        <v>0</v>
      </c>
    </row>
    <row r="135" spans="1:21" ht="51" customHeight="1" hidden="1">
      <c r="A135" s="91" t="s">
        <v>262</v>
      </c>
      <c r="B135" s="39">
        <v>240</v>
      </c>
      <c r="C135" s="40"/>
      <c r="D135" s="41"/>
      <c r="E135" s="122">
        <f t="shared" si="57"/>
        <v>0</v>
      </c>
      <c r="F135" s="118">
        <f>F136</f>
        <v>0</v>
      </c>
      <c r="G135" s="118">
        <f>G136</f>
        <v>0</v>
      </c>
      <c r="H135" s="118">
        <f>H136</f>
        <v>0</v>
      </c>
      <c r="I135" s="122">
        <f>F135+G135+H135</f>
        <v>0</v>
      </c>
      <c r="J135" s="134">
        <f>J136</f>
        <v>0</v>
      </c>
      <c r="K135" s="134">
        <f>K136</f>
        <v>0</v>
      </c>
      <c r="L135" s="134">
        <f>L136</f>
        <v>0</v>
      </c>
      <c r="M135" s="122">
        <f t="shared" si="53"/>
        <v>0</v>
      </c>
      <c r="N135" s="134">
        <f>N136</f>
        <v>0</v>
      </c>
      <c r="O135" s="134">
        <f>O136</f>
        <v>0</v>
      </c>
      <c r="P135" s="134">
        <f>P136</f>
        <v>0</v>
      </c>
      <c r="Q135" s="122">
        <f t="shared" si="58"/>
        <v>0</v>
      </c>
      <c r="R135" s="118">
        <f>R136</f>
        <v>0</v>
      </c>
      <c r="S135" s="118">
        <f>S136</f>
        <v>0</v>
      </c>
      <c r="T135" s="118">
        <f>T136</f>
        <v>0</v>
      </c>
      <c r="U135" s="122">
        <f t="shared" si="59"/>
        <v>0</v>
      </c>
    </row>
    <row r="136" spans="1:21" ht="12.75" customHeight="1" hidden="1">
      <c r="A136" s="88" t="s">
        <v>178</v>
      </c>
      <c r="B136" s="39">
        <v>244</v>
      </c>
      <c r="C136" s="40" t="s">
        <v>103</v>
      </c>
      <c r="D136" s="41"/>
      <c r="E136" s="117">
        <f t="shared" si="57"/>
        <v>0</v>
      </c>
      <c r="F136" s="117"/>
      <c r="G136" s="117"/>
      <c r="H136" s="117"/>
      <c r="I136" s="117">
        <f>F136+G136+H136</f>
        <v>0</v>
      </c>
      <c r="J136" s="133"/>
      <c r="K136" s="133"/>
      <c r="L136" s="133"/>
      <c r="M136" s="117">
        <f t="shared" si="53"/>
        <v>0</v>
      </c>
      <c r="N136" s="133"/>
      <c r="O136" s="133"/>
      <c r="P136" s="133"/>
      <c r="Q136" s="117">
        <f t="shared" si="58"/>
        <v>0</v>
      </c>
      <c r="R136" s="117"/>
      <c r="S136" s="117"/>
      <c r="T136" s="117"/>
      <c r="U136" s="117">
        <f t="shared" si="59"/>
        <v>0</v>
      </c>
    </row>
    <row r="137" spans="1:21" ht="36.75" customHeight="1">
      <c r="A137" s="89" t="s">
        <v>273</v>
      </c>
      <c r="B137" s="42">
        <v>200</v>
      </c>
      <c r="C137" s="40"/>
      <c r="D137" s="41"/>
      <c r="E137" s="109">
        <f t="shared" si="57"/>
        <v>3972.70366</v>
      </c>
      <c r="F137" s="117">
        <f>F138+F140</f>
        <v>0</v>
      </c>
      <c r="G137" s="117">
        <f>G138+G140</f>
        <v>50</v>
      </c>
      <c r="H137" s="117">
        <f>H138+H140</f>
        <v>216.0260800000001</v>
      </c>
      <c r="I137" s="109">
        <f aca="true" t="shared" si="60" ref="I137:I142">SUM(F137:H137)</f>
        <v>266.0260800000001</v>
      </c>
      <c r="J137" s="133">
        <f>J138+J140</f>
        <v>253.22</v>
      </c>
      <c r="K137" s="133">
        <f>K138+K140</f>
        <v>206.608</v>
      </c>
      <c r="L137" s="133">
        <f>L138+L140</f>
        <v>206.60799999999995</v>
      </c>
      <c r="M137" s="109">
        <f t="shared" si="53"/>
        <v>666.4359999999999</v>
      </c>
      <c r="N137" s="133">
        <f>N138+N140</f>
        <v>206.981</v>
      </c>
      <c r="O137" s="133">
        <f>O138+O140</f>
        <v>206.781</v>
      </c>
      <c r="P137" s="133">
        <f>P138+P140</f>
        <v>206.61</v>
      </c>
      <c r="Q137" s="109">
        <f t="shared" si="58"/>
        <v>620.3720000000001</v>
      </c>
      <c r="R137" s="117">
        <f>R138+R140</f>
        <v>1419.2495800000002</v>
      </c>
      <c r="S137" s="117">
        <f>S138+S140</f>
        <v>900.31</v>
      </c>
      <c r="T137" s="117">
        <f>T138+T140</f>
        <v>100.31</v>
      </c>
      <c r="U137" s="109">
        <f t="shared" si="59"/>
        <v>2419.86958</v>
      </c>
    </row>
    <row r="138" spans="1:21" ht="86.25" customHeight="1">
      <c r="A138" s="90" t="s">
        <v>180</v>
      </c>
      <c r="B138" s="39">
        <v>240</v>
      </c>
      <c r="C138" s="40"/>
      <c r="D138" s="41"/>
      <c r="E138" s="122">
        <f t="shared" si="57"/>
        <v>3472.70366</v>
      </c>
      <c r="F138" s="118">
        <f>F139+F142</f>
        <v>0</v>
      </c>
      <c r="G138" s="118">
        <f>G139+G142</f>
        <v>50</v>
      </c>
      <c r="H138" s="118">
        <f>H139+H142</f>
        <v>216.0260800000001</v>
      </c>
      <c r="I138" s="122">
        <f t="shared" si="60"/>
        <v>266.0260800000001</v>
      </c>
      <c r="J138" s="134">
        <f>J139+J142</f>
        <v>253.22</v>
      </c>
      <c r="K138" s="134">
        <f>K139+K142</f>
        <v>206.608</v>
      </c>
      <c r="L138" s="134">
        <f>L139+L142</f>
        <v>206.60799999999995</v>
      </c>
      <c r="M138" s="122">
        <f t="shared" si="53"/>
        <v>666.4359999999999</v>
      </c>
      <c r="N138" s="134">
        <f>N139+N142</f>
        <v>206.981</v>
      </c>
      <c r="O138" s="134">
        <f>O139+O142</f>
        <v>206.781</v>
      </c>
      <c r="P138" s="134">
        <f>P139+P142</f>
        <v>206.61</v>
      </c>
      <c r="Q138" s="122">
        <f t="shared" si="58"/>
        <v>620.3720000000001</v>
      </c>
      <c r="R138" s="118">
        <f>R139+R142</f>
        <v>919.2495800000002</v>
      </c>
      <c r="S138" s="118">
        <f>S139+S142</f>
        <v>900.31</v>
      </c>
      <c r="T138" s="118">
        <f>T139+T142</f>
        <v>100.31</v>
      </c>
      <c r="U138" s="122">
        <f t="shared" si="59"/>
        <v>1919.86958</v>
      </c>
    </row>
    <row r="139" spans="1:21" ht="14.25" customHeight="1">
      <c r="A139" s="88" t="s">
        <v>178</v>
      </c>
      <c r="B139" s="39">
        <v>244</v>
      </c>
      <c r="C139" s="40" t="s">
        <v>103</v>
      </c>
      <c r="D139" s="41"/>
      <c r="E139" s="122">
        <f t="shared" si="57"/>
        <v>3472.70366</v>
      </c>
      <c r="F139" s="118">
        <v>0</v>
      </c>
      <c r="G139" s="118">
        <v>50</v>
      </c>
      <c r="H139" s="118">
        <f>1508-1291.97392</f>
        <v>216.0260800000001</v>
      </c>
      <c r="I139" s="122">
        <f t="shared" si="60"/>
        <v>266.0260800000001</v>
      </c>
      <c r="J139" s="134">
        <v>253.22</v>
      </c>
      <c r="K139" s="134">
        <v>206.608</v>
      </c>
      <c r="L139" s="134">
        <f>1193.14592-986.53792</f>
        <v>206.60799999999995</v>
      </c>
      <c r="M139" s="122">
        <f t="shared" si="53"/>
        <v>666.4359999999999</v>
      </c>
      <c r="N139" s="134">
        <v>206.981</v>
      </c>
      <c r="O139" s="134">
        <v>206.781</v>
      </c>
      <c r="P139" s="134">
        <v>206.61</v>
      </c>
      <c r="Q139" s="122">
        <f t="shared" si="58"/>
        <v>620.3720000000001</v>
      </c>
      <c r="R139" s="118">
        <f>200.3+879.96058-161.011</f>
        <v>919.2495800000002</v>
      </c>
      <c r="S139" s="118">
        <v>900.31</v>
      </c>
      <c r="T139" s="118">
        <v>100.31</v>
      </c>
      <c r="U139" s="122">
        <f t="shared" si="59"/>
        <v>1919.86958</v>
      </c>
    </row>
    <row r="140" spans="1:21" ht="46.5" customHeight="1">
      <c r="A140" s="90" t="s">
        <v>267</v>
      </c>
      <c r="B140" s="39">
        <v>240</v>
      </c>
      <c r="C140" s="40"/>
      <c r="D140" s="41"/>
      <c r="E140" s="122">
        <f aca="true" t="shared" si="61" ref="E140:E150">I140+M140+Q140+U140</f>
        <v>500</v>
      </c>
      <c r="F140" s="118">
        <f>F141+F164</f>
        <v>0</v>
      </c>
      <c r="G140" s="118">
        <f>G141+G164</f>
        <v>0</v>
      </c>
      <c r="H140" s="118">
        <f>H141+H164</f>
        <v>0</v>
      </c>
      <c r="I140" s="122">
        <f t="shared" si="60"/>
        <v>0</v>
      </c>
      <c r="J140" s="134">
        <f>J141+J164</f>
        <v>0</v>
      </c>
      <c r="K140" s="134">
        <f>K141+K164</f>
        <v>0</v>
      </c>
      <c r="L140" s="134">
        <f>L141+L164</f>
        <v>0</v>
      </c>
      <c r="M140" s="122">
        <f aca="true" t="shared" si="62" ref="M140:M150">SUM(J140:L140)</f>
        <v>0</v>
      </c>
      <c r="N140" s="134">
        <f>N141+N164</f>
        <v>0</v>
      </c>
      <c r="O140" s="134">
        <f>O141+O164</f>
        <v>0</v>
      </c>
      <c r="P140" s="134">
        <f>P141+P164</f>
        <v>0</v>
      </c>
      <c r="Q140" s="122">
        <f aca="true" t="shared" si="63" ref="Q140:Q150">SUM(N140:P140)</f>
        <v>0</v>
      </c>
      <c r="R140" s="118">
        <f>R141</f>
        <v>500</v>
      </c>
      <c r="S140" s="118">
        <f>S141+S164</f>
        <v>0</v>
      </c>
      <c r="T140" s="118">
        <f>T141+T164</f>
        <v>0</v>
      </c>
      <c r="U140" s="122">
        <f aca="true" t="shared" si="64" ref="U140:U150">R140+S140+T140</f>
        <v>500</v>
      </c>
    </row>
    <row r="141" spans="1:21" ht="14.25" customHeight="1">
      <c r="A141" s="88" t="s">
        <v>178</v>
      </c>
      <c r="B141" s="39">
        <v>244</v>
      </c>
      <c r="C141" s="40" t="s">
        <v>103</v>
      </c>
      <c r="D141" s="41"/>
      <c r="E141" s="122">
        <f t="shared" si="61"/>
        <v>500</v>
      </c>
      <c r="F141" s="118"/>
      <c r="G141" s="118"/>
      <c r="H141" s="118"/>
      <c r="I141" s="122">
        <f t="shared" si="60"/>
        <v>0</v>
      </c>
      <c r="J141" s="134"/>
      <c r="K141" s="134"/>
      <c r="L141" s="134">
        <f>15.34+184.66-200</f>
        <v>0</v>
      </c>
      <c r="M141" s="122">
        <f t="shared" si="62"/>
        <v>0</v>
      </c>
      <c r="N141" s="134"/>
      <c r="O141" s="134"/>
      <c r="P141" s="134"/>
      <c r="Q141" s="122">
        <f t="shared" si="63"/>
        <v>0</v>
      </c>
      <c r="R141" s="118">
        <v>500</v>
      </c>
      <c r="S141" s="118"/>
      <c r="T141" s="118"/>
      <c r="U141" s="122">
        <f t="shared" si="64"/>
        <v>500</v>
      </c>
    </row>
    <row r="142" spans="1:21" ht="14.25" customHeight="1">
      <c r="A142" s="88" t="s">
        <v>110</v>
      </c>
      <c r="B142" s="39">
        <v>244</v>
      </c>
      <c r="C142" s="40" t="s">
        <v>111</v>
      </c>
      <c r="D142" s="41"/>
      <c r="E142" s="122">
        <f t="shared" si="61"/>
        <v>0</v>
      </c>
      <c r="F142" s="118"/>
      <c r="G142" s="118"/>
      <c r="H142" s="118"/>
      <c r="I142" s="122">
        <f t="shared" si="60"/>
        <v>0</v>
      </c>
      <c r="J142" s="134"/>
      <c r="K142" s="134"/>
      <c r="L142" s="134"/>
      <c r="M142" s="122">
        <f t="shared" si="62"/>
        <v>0</v>
      </c>
      <c r="N142" s="134">
        <v>0</v>
      </c>
      <c r="O142" s="134">
        <v>0</v>
      </c>
      <c r="P142" s="134">
        <v>0</v>
      </c>
      <c r="Q142" s="122">
        <f t="shared" si="63"/>
        <v>0</v>
      </c>
      <c r="R142" s="118"/>
      <c r="S142" s="118"/>
      <c r="T142" s="118"/>
      <c r="U142" s="122">
        <f t="shared" si="64"/>
        <v>0</v>
      </c>
    </row>
    <row r="143" spans="1:21" ht="28.5" customHeight="1">
      <c r="A143" s="89" t="s">
        <v>303</v>
      </c>
      <c r="B143" s="39">
        <v>240</v>
      </c>
      <c r="C143" s="40"/>
      <c r="D143" s="41"/>
      <c r="E143" s="118">
        <f t="shared" si="61"/>
        <v>2049.3</v>
      </c>
      <c r="F143" s="119">
        <f aca="true" t="shared" si="65" ref="F143:H144">F144</f>
        <v>0</v>
      </c>
      <c r="G143" s="119">
        <f t="shared" si="65"/>
        <v>0</v>
      </c>
      <c r="H143" s="119">
        <f t="shared" si="65"/>
        <v>0</v>
      </c>
      <c r="I143" s="116">
        <f>F143+G143+H143</f>
        <v>0</v>
      </c>
      <c r="J143" s="161">
        <f aca="true" t="shared" si="66" ref="J143:L144">J144</f>
        <v>0</v>
      </c>
      <c r="K143" s="161">
        <f t="shared" si="66"/>
        <v>0</v>
      </c>
      <c r="L143" s="161">
        <f t="shared" si="66"/>
        <v>0</v>
      </c>
      <c r="M143" s="116">
        <f>J143+K143+L143</f>
        <v>0</v>
      </c>
      <c r="N143" s="161">
        <f aca="true" t="shared" si="67" ref="N143:P144">N144</f>
        <v>0</v>
      </c>
      <c r="O143" s="161">
        <f t="shared" si="67"/>
        <v>2049.3</v>
      </c>
      <c r="P143" s="161">
        <f t="shared" si="67"/>
        <v>0</v>
      </c>
      <c r="Q143" s="116">
        <f>N143+O143+P143</f>
        <v>2049.3</v>
      </c>
      <c r="R143" s="119">
        <f aca="true" t="shared" si="68" ref="R143:T144">R144</f>
        <v>0</v>
      </c>
      <c r="S143" s="119">
        <f t="shared" si="68"/>
        <v>0</v>
      </c>
      <c r="T143" s="119">
        <f t="shared" si="68"/>
        <v>0</v>
      </c>
      <c r="U143" s="116">
        <f>SUM(R143:T143)</f>
        <v>0</v>
      </c>
    </row>
    <row r="144" spans="1:21" ht="24" customHeight="1">
      <c r="A144" s="90" t="s">
        <v>304</v>
      </c>
      <c r="B144" s="163" t="s">
        <v>278</v>
      </c>
      <c r="C144" s="104"/>
      <c r="D144" s="41"/>
      <c r="E144" s="118">
        <f t="shared" si="61"/>
        <v>2049.3</v>
      </c>
      <c r="F144" s="118">
        <f t="shared" si="65"/>
        <v>0</v>
      </c>
      <c r="G144" s="118">
        <f t="shared" si="65"/>
        <v>0</v>
      </c>
      <c r="H144" s="118">
        <f t="shared" si="65"/>
        <v>0</v>
      </c>
      <c r="I144" s="118">
        <f aca="true" t="shared" si="69" ref="I144:I150">SUM(F144:H144)</f>
        <v>0</v>
      </c>
      <c r="J144" s="134">
        <f t="shared" si="66"/>
        <v>0</v>
      </c>
      <c r="K144" s="134">
        <f t="shared" si="66"/>
        <v>0</v>
      </c>
      <c r="L144" s="134">
        <f t="shared" si="66"/>
        <v>0</v>
      </c>
      <c r="M144" s="118">
        <f>SUM(J144:L144)</f>
        <v>0</v>
      </c>
      <c r="N144" s="134">
        <f t="shared" si="67"/>
        <v>0</v>
      </c>
      <c r="O144" s="134">
        <f t="shared" si="67"/>
        <v>2049.3</v>
      </c>
      <c r="P144" s="134">
        <f t="shared" si="67"/>
        <v>0</v>
      </c>
      <c r="Q144" s="118">
        <f>SUM(N144:P144)</f>
        <v>2049.3</v>
      </c>
      <c r="R144" s="118">
        <f t="shared" si="68"/>
        <v>0</v>
      </c>
      <c r="S144" s="118">
        <f t="shared" si="68"/>
        <v>0</v>
      </c>
      <c r="T144" s="118">
        <f t="shared" si="68"/>
        <v>0</v>
      </c>
      <c r="U144" s="109">
        <f>U145</f>
        <v>0</v>
      </c>
    </row>
    <row r="145" spans="1:21" ht="14.25" customHeight="1">
      <c r="A145" s="106" t="s">
        <v>108</v>
      </c>
      <c r="B145" s="163" t="s">
        <v>278</v>
      </c>
      <c r="C145" s="105" t="s">
        <v>109</v>
      </c>
      <c r="D145" s="41"/>
      <c r="E145" s="109">
        <f t="shared" si="61"/>
        <v>2049.3</v>
      </c>
      <c r="F145" s="117">
        <v>0</v>
      </c>
      <c r="G145" s="117">
        <v>0</v>
      </c>
      <c r="H145" s="117"/>
      <c r="I145" s="109">
        <f t="shared" si="69"/>
        <v>0</v>
      </c>
      <c r="J145" s="133">
        <v>0</v>
      </c>
      <c r="K145" s="133"/>
      <c r="L145" s="133">
        <f>2049.3-2049.3</f>
        <v>0</v>
      </c>
      <c r="M145" s="109">
        <f>SUM(J145:L145)</f>
        <v>0</v>
      </c>
      <c r="N145" s="133"/>
      <c r="O145" s="133">
        <v>2049.3</v>
      </c>
      <c r="P145" s="133">
        <v>0</v>
      </c>
      <c r="Q145" s="109">
        <f>SUM(N145:P145)</f>
        <v>2049.3</v>
      </c>
      <c r="R145" s="117">
        <v>0</v>
      </c>
      <c r="S145" s="117">
        <v>0</v>
      </c>
      <c r="T145" s="117">
        <v>0</v>
      </c>
      <c r="U145" s="109">
        <f>SUM(R145:T145)</f>
        <v>0</v>
      </c>
    </row>
    <row r="146" spans="1:21" ht="42.75" customHeight="1">
      <c r="A146" s="89" t="s">
        <v>268</v>
      </c>
      <c r="B146" s="42">
        <v>200</v>
      </c>
      <c r="C146" s="40"/>
      <c r="D146" s="41"/>
      <c r="E146" s="109">
        <f t="shared" si="61"/>
        <v>7824.518250000001</v>
      </c>
      <c r="F146" s="117">
        <f>F147+F149+F151+F155+F157+F153+F159+F161</f>
        <v>0</v>
      </c>
      <c r="G146" s="117">
        <f>G147+G149+G151+G155+G157+G153+G159+G161</f>
        <v>0</v>
      </c>
      <c r="H146" s="117">
        <f>H147+H149+H151+H155+H157+H153+H159+H161</f>
        <v>0</v>
      </c>
      <c r="I146" s="109">
        <f t="shared" si="69"/>
        <v>0</v>
      </c>
      <c r="J146" s="117">
        <f>J147+J149+J151+J155+J157+J153+J159+J161</f>
        <v>0</v>
      </c>
      <c r="K146" s="117">
        <f>K147+K149+K151+K155+K157+K153+K159+K161</f>
        <v>0</v>
      </c>
      <c r="L146" s="117">
        <f>L147+L149+L151+L155+L157+L153+L159+L161</f>
        <v>0</v>
      </c>
      <c r="M146" s="109">
        <f t="shared" si="62"/>
        <v>0</v>
      </c>
      <c r="N146" s="117">
        <f>N147+N149+N151+N155+N157+N153+N159+N161</f>
        <v>679.76</v>
      </c>
      <c r="O146" s="133">
        <f>O147+O149+O151+O155+O157+O153+O159+O161</f>
        <v>6090.1</v>
      </c>
      <c r="P146" s="133">
        <f>P147+P149+P151+P155+P157+P153+P159+P161</f>
        <v>0</v>
      </c>
      <c r="Q146" s="109">
        <f t="shared" si="63"/>
        <v>6769.860000000001</v>
      </c>
      <c r="R146" s="117">
        <f>R147+R149+R151+R155+R157+R153+R159+R161</f>
        <v>1054.65825</v>
      </c>
      <c r="S146" s="117">
        <f>S147+S149+S151+S155+S157+S153+S159+S161</f>
        <v>0</v>
      </c>
      <c r="T146" s="117">
        <f>T147+T149+T151+T155+T157+T153+T159+T161</f>
        <v>0</v>
      </c>
      <c r="U146" s="109">
        <f t="shared" si="64"/>
        <v>1054.65825</v>
      </c>
    </row>
    <row r="147" spans="1:21" ht="50.25" customHeight="1">
      <c r="A147" s="91" t="s">
        <v>177</v>
      </c>
      <c r="B147" s="39">
        <v>240</v>
      </c>
      <c r="C147" s="40"/>
      <c r="D147" s="41"/>
      <c r="E147" s="122">
        <f t="shared" si="61"/>
        <v>2287.54</v>
      </c>
      <c r="F147" s="118">
        <f>F148</f>
        <v>0</v>
      </c>
      <c r="G147" s="118">
        <f>G148</f>
        <v>0</v>
      </c>
      <c r="H147" s="118">
        <f>H148</f>
        <v>0</v>
      </c>
      <c r="I147" s="122">
        <f t="shared" si="69"/>
        <v>0</v>
      </c>
      <c r="J147" s="134">
        <f>J148</f>
        <v>0</v>
      </c>
      <c r="K147" s="134">
        <f>K148</f>
        <v>0</v>
      </c>
      <c r="L147" s="134">
        <f>L148</f>
        <v>0</v>
      </c>
      <c r="M147" s="122">
        <f t="shared" si="62"/>
        <v>0</v>
      </c>
      <c r="N147" s="134">
        <f>N148</f>
        <v>0</v>
      </c>
      <c r="O147" s="134">
        <f>O148</f>
        <v>1944.1</v>
      </c>
      <c r="P147" s="134">
        <f>P148</f>
        <v>0</v>
      </c>
      <c r="Q147" s="122">
        <f t="shared" si="63"/>
        <v>1944.1</v>
      </c>
      <c r="R147" s="118">
        <f>R148</f>
        <v>343.44</v>
      </c>
      <c r="S147" s="118">
        <f>S148</f>
        <v>0</v>
      </c>
      <c r="T147" s="118">
        <f>T148</f>
        <v>0</v>
      </c>
      <c r="U147" s="122">
        <f t="shared" si="64"/>
        <v>343.44</v>
      </c>
    </row>
    <row r="148" spans="1:21" ht="27.75" customHeight="1">
      <c r="A148" s="92" t="s">
        <v>224</v>
      </c>
      <c r="B148" s="39">
        <v>244</v>
      </c>
      <c r="C148" s="40" t="s">
        <v>103</v>
      </c>
      <c r="D148" s="41"/>
      <c r="E148" s="122">
        <f t="shared" si="61"/>
        <v>2287.54</v>
      </c>
      <c r="F148" s="118"/>
      <c r="G148" s="118"/>
      <c r="H148" s="118"/>
      <c r="I148" s="122">
        <f t="shared" si="69"/>
        <v>0</v>
      </c>
      <c r="J148" s="134"/>
      <c r="K148" s="134"/>
      <c r="L148" s="134">
        <f>10.6+563.64+850.7-1424.94</f>
        <v>0</v>
      </c>
      <c r="M148" s="122">
        <f t="shared" si="62"/>
        <v>0</v>
      </c>
      <c r="N148" s="134"/>
      <c r="O148" s="134">
        <v>1944.1</v>
      </c>
      <c r="P148" s="134"/>
      <c r="Q148" s="122">
        <f t="shared" si="63"/>
        <v>1944.1</v>
      </c>
      <c r="R148" s="118">
        <f>31.55+311.89</f>
        <v>343.44</v>
      </c>
      <c r="S148" s="118"/>
      <c r="T148" s="118"/>
      <c r="U148" s="122">
        <f t="shared" si="64"/>
        <v>343.44</v>
      </c>
    </row>
    <row r="149" spans="1:21" ht="62.25" customHeight="1">
      <c r="A149" s="99" t="s">
        <v>179</v>
      </c>
      <c r="B149" s="39">
        <v>240</v>
      </c>
      <c r="C149" s="40"/>
      <c r="D149" s="41"/>
      <c r="E149" s="122">
        <f t="shared" si="61"/>
        <v>93.21825000000001</v>
      </c>
      <c r="F149" s="118">
        <f>F150</f>
        <v>0</v>
      </c>
      <c r="G149" s="118">
        <f>G150</f>
        <v>0</v>
      </c>
      <c r="H149" s="118">
        <f>H150</f>
        <v>0</v>
      </c>
      <c r="I149" s="122">
        <f t="shared" si="69"/>
        <v>0</v>
      </c>
      <c r="J149" s="134">
        <f>J150</f>
        <v>0</v>
      </c>
      <c r="K149" s="134">
        <f>K150</f>
        <v>0</v>
      </c>
      <c r="L149" s="134">
        <f>L150</f>
        <v>0</v>
      </c>
      <c r="M149" s="122">
        <f t="shared" si="62"/>
        <v>0</v>
      </c>
      <c r="N149" s="134">
        <f>N150</f>
        <v>0</v>
      </c>
      <c r="O149" s="134">
        <f>O150</f>
        <v>5</v>
      </c>
      <c r="P149" s="134">
        <f>P150</f>
        <v>0</v>
      </c>
      <c r="Q149" s="122">
        <f t="shared" si="63"/>
        <v>5</v>
      </c>
      <c r="R149" s="118">
        <f>R150</f>
        <v>88.21825000000001</v>
      </c>
      <c r="S149" s="118">
        <f>S150</f>
        <v>0</v>
      </c>
      <c r="T149" s="118">
        <f>T150</f>
        <v>0</v>
      </c>
      <c r="U149" s="122">
        <f t="shared" si="64"/>
        <v>88.21825000000001</v>
      </c>
    </row>
    <row r="150" spans="1:21" ht="18" customHeight="1">
      <c r="A150" s="92" t="s">
        <v>224</v>
      </c>
      <c r="B150" s="39">
        <v>244</v>
      </c>
      <c r="C150" s="40" t="s">
        <v>105</v>
      </c>
      <c r="D150" s="41"/>
      <c r="E150" s="122">
        <f t="shared" si="61"/>
        <v>93.21825000000001</v>
      </c>
      <c r="F150" s="118">
        <v>0</v>
      </c>
      <c r="G150" s="118">
        <v>0</v>
      </c>
      <c r="H150" s="118">
        <v>0</v>
      </c>
      <c r="I150" s="122">
        <f t="shared" si="69"/>
        <v>0</v>
      </c>
      <c r="J150" s="134"/>
      <c r="K150" s="134"/>
      <c r="L150" s="134">
        <f>2.67+106.63+18.2-127.5</f>
        <v>0</v>
      </c>
      <c r="M150" s="122">
        <f t="shared" si="62"/>
        <v>0</v>
      </c>
      <c r="N150" s="134"/>
      <c r="O150" s="134">
        <v>5</v>
      </c>
      <c r="P150" s="134"/>
      <c r="Q150" s="122">
        <f t="shared" si="63"/>
        <v>5</v>
      </c>
      <c r="R150" s="118">
        <f>5.9+82.31825</f>
        <v>88.21825000000001</v>
      </c>
      <c r="S150" s="118">
        <v>0</v>
      </c>
      <c r="T150" s="118">
        <v>0</v>
      </c>
      <c r="U150" s="122">
        <f t="shared" si="64"/>
        <v>88.21825000000001</v>
      </c>
    </row>
    <row r="151" spans="1:21" ht="54" customHeight="1">
      <c r="A151" s="99" t="s">
        <v>262</v>
      </c>
      <c r="B151" s="39">
        <v>240</v>
      </c>
      <c r="C151" s="40"/>
      <c r="D151" s="41"/>
      <c r="E151" s="122">
        <f aca="true" t="shared" si="70" ref="E151:E158">I151+M151+Q151+U151</f>
        <v>365</v>
      </c>
      <c r="F151" s="118">
        <f>F152</f>
        <v>0</v>
      </c>
      <c r="G151" s="118">
        <f>G152</f>
        <v>0</v>
      </c>
      <c r="H151" s="118">
        <f>H152</f>
        <v>0</v>
      </c>
      <c r="I151" s="122">
        <f aca="true" t="shared" si="71" ref="I151:I158">SUM(F151:H151)</f>
        <v>0</v>
      </c>
      <c r="J151" s="134">
        <f>J152</f>
        <v>0</v>
      </c>
      <c r="K151" s="134">
        <f>K152</f>
        <v>0</v>
      </c>
      <c r="L151" s="134">
        <f>L152</f>
        <v>0</v>
      </c>
      <c r="M151" s="122">
        <f aca="true" t="shared" si="72" ref="M151:M158">SUM(J151:L151)</f>
        <v>0</v>
      </c>
      <c r="N151" s="134">
        <f>N152</f>
        <v>180</v>
      </c>
      <c r="O151" s="134">
        <f>O152</f>
        <v>141</v>
      </c>
      <c r="P151" s="134">
        <f>P152</f>
        <v>0</v>
      </c>
      <c r="Q151" s="122">
        <f aca="true" t="shared" si="73" ref="Q151:Q166">SUM(N151:P151)</f>
        <v>321</v>
      </c>
      <c r="R151" s="118">
        <f>R152</f>
        <v>44</v>
      </c>
      <c r="S151" s="118">
        <f>S152</f>
        <v>0</v>
      </c>
      <c r="T151" s="118">
        <f>T152</f>
        <v>0</v>
      </c>
      <c r="U151" s="122">
        <f aca="true" t="shared" si="74" ref="U151:U158">R151+S151+T151</f>
        <v>44</v>
      </c>
    </row>
    <row r="152" spans="1:21" ht="18.75" customHeight="1">
      <c r="A152" s="103" t="s">
        <v>224</v>
      </c>
      <c r="B152" s="39">
        <v>244</v>
      </c>
      <c r="C152" s="40" t="s">
        <v>103</v>
      </c>
      <c r="D152" s="41"/>
      <c r="E152" s="122">
        <f t="shared" si="70"/>
        <v>365</v>
      </c>
      <c r="F152" s="118">
        <v>0</v>
      </c>
      <c r="G152" s="118">
        <v>0</v>
      </c>
      <c r="H152" s="118">
        <v>0</v>
      </c>
      <c r="I152" s="122">
        <f t="shared" si="71"/>
        <v>0</v>
      </c>
      <c r="J152" s="134"/>
      <c r="K152" s="134"/>
      <c r="L152" s="134">
        <f>350+15-365</f>
        <v>0</v>
      </c>
      <c r="M152" s="122">
        <f t="shared" si="72"/>
        <v>0</v>
      </c>
      <c r="N152" s="134">
        <v>180</v>
      </c>
      <c r="O152" s="134">
        <v>141</v>
      </c>
      <c r="P152" s="134"/>
      <c r="Q152" s="122">
        <f t="shared" si="73"/>
        <v>321</v>
      </c>
      <c r="R152" s="118">
        <f>185-141</f>
        <v>44</v>
      </c>
      <c r="S152" s="118">
        <v>0</v>
      </c>
      <c r="T152" s="118">
        <v>0</v>
      </c>
      <c r="U152" s="122">
        <f t="shared" si="74"/>
        <v>44</v>
      </c>
    </row>
    <row r="153" spans="1:21" ht="37.5" customHeight="1">
      <c r="A153" s="99" t="s">
        <v>302</v>
      </c>
      <c r="B153" s="39">
        <v>240</v>
      </c>
      <c r="C153" s="40"/>
      <c r="D153" s="96"/>
      <c r="E153" s="157">
        <f t="shared" si="70"/>
        <v>499.76</v>
      </c>
      <c r="F153" s="134">
        <f>F154</f>
        <v>0</v>
      </c>
      <c r="G153" s="134">
        <f>G154</f>
        <v>0</v>
      </c>
      <c r="H153" s="134">
        <f>H154</f>
        <v>0</v>
      </c>
      <c r="I153" s="157">
        <f>SUM(F153:H153)</f>
        <v>0</v>
      </c>
      <c r="J153" s="134">
        <f>J154</f>
        <v>0</v>
      </c>
      <c r="K153" s="134">
        <f>K154</f>
        <v>0</v>
      </c>
      <c r="L153" s="134">
        <f>L154</f>
        <v>0</v>
      </c>
      <c r="M153" s="157">
        <f>SUM(J153:L153)</f>
        <v>0</v>
      </c>
      <c r="N153" s="134">
        <f>N154</f>
        <v>499.76</v>
      </c>
      <c r="O153" s="134">
        <f>O154</f>
        <v>0</v>
      </c>
      <c r="P153" s="134">
        <f>P154</f>
        <v>0</v>
      </c>
      <c r="Q153" s="157">
        <f t="shared" si="73"/>
        <v>499.76</v>
      </c>
      <c r="R153" s="134">
        <f>R154</f>
        <v>0</v>
      </c>
      <c r="S153" s="134">
        <f>S154</f>
        <v>0</v>
      </c>
      <c r="T153" s="134">
        <f>T154</f>
        <v>0</v>
      </c>
      <c r="U153" s="157">
        <f>R153+S153+T153</f>
        <v>0</v>
      </c>
    </row>
    <row r="154" spans="1:21" ht="18" customHeight="1">
      <c r="A154" s="103" t="s">
        <v>224</v>
      </c>
      <c r="B154" s="88">
        <v>244</v>
      </c>
      <c r="C154" s="136" t="s">
        <v>103</v>
      </c>
      <c r="D154" s="96"/>
      <c r="E154" s="157">
        <f t="shared" si="70"/>
        <v>499.76</v>
      </c>
      <c r="F154" s="134"/>
      <c r="G154" s="134"/>
      <c r="H154" s="134"/>
      <c r="I154" s="157">
        <f>SUM(F154:H154)</f>
        <v>0</v>
      </c>
      <c r="J154" s="134"/>
      <c r="K154" s="134"/>
      <c r="L154" s="134">
        <f>499.76-499.76</f>
        <v>0</v>
      </c>
      <c r="M154" s="157">
        <f>SUM(J154:L154)</f>
        <v>0</v>
      </c>
      <c r="N154" s="134">
        <v>499.76</v>
      </c>
      <c r="O154" s="134"/>
      <c r="P154" s="134"/>
      <c r="Q154" s="157">
        <f t="shared" si="73"/>
        <v>499.76</v>
      </c>
      <c r="R154" s="134">
        <v>0</v>
      </c>
      <c r="S154" s="134">
        <v>0</v>
      </c>
      <c r="T154" s="134">
        <v>0</v>
      </c>
      <c r="U154" s="157">
        <f>R154+S154+T154</f>
        <v>0</v>
      </c>
    </row>
    <row r="155" spans="1:21" ht="102" customHeight="1">
      <c r="A155" s="99" t="s">
        <v>291</v>
      </c>
      <c r="B155" s="39">
        <v>240</v>
      </c>
      <c r="C155" s="40"/>
      <c r="D155" s="41"/>
      <c r="E155" s="157">
        <f t="shared" si="70"/>
        <v>4000</v>
      </c>
      <c r="F155" s="134">
        <f>F156</f>
        <v>0</v>
      </c>
      <c r="G155" s="134">
        <f>G156</f>
        <v>0</v>
      </c>
      <c r="H155" s="134">
        <f>H156</f>
        <v>0</v>
      </c>
      <c r="I155" s="157">
        <f t="shared" si="71"/>
        <v>0</v>
      </c>
      <c r="J155" s="134">
        <f>J156</f>
        <v>0</v>
      </c>
      <c r="K155" s="134">
        <f>K156</f>
        <v>0</v>
      </c>
      <c r="L155" s="134">
        <f>L156</f>
        <v>0</v>
      </c>
      <c r="M155" s="157">
        <f t="shared" si="72"/>
        <v>0</v>
      </c>
      <c r="N155" s="134">
        <f>N156</f>
        <v>0</v>
      </c>
      <c r="O155" s="134">
        <f>O156</f>
        <v>4000</v>
      </c>
      <c r="P155" s="134">
        <f>P156</f>
        <v>0</v>
      </c>
      <c r="Q155" s="157">
        <f t="shared" si="73"/>
        <v>4000</v>
      </c>
      <c r="R155" s="134">
        <f>R156</f>
        <v>0</v>
      </c>
      <c r="S155" s="134">
        <f>S156</f>
        <v>0</v>
      </c>
      <c r="T155" s="134">
        <f>T156</f>
        <v>0</v>
      </c>
      <c r="U155" s="157">
        <f t="shared" si="74"/>
        <v>0</v>
      </c>
    </row>
    <row r="156" spans="1:21" ht="16.5" customHeight="1">
      <c r="A156" s="92" t="s">
        <v>224</v>
      </c>
      <c r="B156" s="88">
        <v>244</v>
      </c>
      <c r="C156" s="136" t="s">
        <v>103</v>
      </c>
      <c r="D156" s="96"/>
      <c r="E156" s="157">
        <f t="shared" si="70"/>
        <v>4000</v>
      </c>
      <c r="F156" s="134"/>
      <c r="G156" s="134"/>
      <c r="H156" s="134"/>
      <c r="I156" s="157">
        <f t="shared" si="71"/>
        <v>0</v>
      </c>
      <c r="J156" s="134"/>
      <c r="K156" s="134"/>
      <c r="L156" s="134">
        <f>4000-4000</f>
        <v>0</v>
      </c>
      <c r="M156" s="157">
        <f t="shared" si="72"/>
        <v>0</v>
      </c>
      <c r="N156" s="134"/>
      <c r="O156" s="134">
        <v>4000</v>
      </c>
      <c r="P156" s="134"/>
      <c r="Q156" s="157">
        <f t="shared" si="73"/>
        <v>4000</v>
      </c>
      <c r="R156" s="134">
        <v>0</v>
      </c>
      <c r="S156" s="134">
        <v>0</v>
      </c>
      <c r="T156" s="134">
        <v>0</v>
      </c>
      <c r="U156" s="157">
        <f t="shared" si="74"/>
        <v>0</v>
      </c>
    </row>
    <row r="157" spans="1:21" ht="84.75" customHeight="1">
      <c r="A157" s="99" t="s">
        <v>295</v>
      </c>
      <c r="B157" s="88">
        <v>240</v>
      </c>
      <c r="C157" s="136"/>
      <c r="D157" s="96"/>
      <c r="E157" s="122">
        <f t="shared" si="70"/>
        <v>79</v>
      </c>
      <c r="F157" s="118">
        <f>F158</f>
        <v>0</v>
      </c>
      <c r="G157" s="118">
        <f>G158</f>
        <v>0</v>
      </c>
      <c r="H157" s="118">
        <f>H158</f>
        <v>0</v>
      </c>
      <c r="I157" s="122">
        <f t="shared" si="71"/>
        <v>0</v>
      </c>
      <c r="J157" s="134">
        <f>J158</f>
        <v>0</v>
      </c>
      <c r="K157" s="134">
        <f>K158</f>
        <v>0</v>
      </c>
      <c r="L157" s="134">
        <f>L158</f>
        <v>0</v>
      </c>
      <c r="M157" s="122">
        <f t="shared" si="72"/>
        <v>0</v>
      </c>
      <c r="N157" s="134">
        <f>N158</f>
        <v>0</v>
      </c>
      <c r="O157" s="134">
        <f>O158</f>
        <v>0</v>
      </c>
      <c r="P157" s="134">
        <f>P158</f>
        <v>0</v>
      </c>
      <c r="Q157" s="122">
        <f t="shared" si="73"/>
        <v>0</v>
      </c>
      <c r="R157" s="118">
        <f>R158</f>
        <v>79</v>
      </c>
      <c r="S157" s="118">
        <f>S158</f>
        <v>0</v>
      </c>
      <c r="T157" s="118">
        <f>T158</f>
        <v>0</v>
      </c>
      <c r="U157" s="122">
        <f t="shared" si="74"/>
        <v>79</v>
      </c>
    </row>
    <row r="158" spans="1:21" ht="24.75" customHeight="1">
      <c r="A158" s="88" t="s">
        <v>237</v>
      </c>
      <c r="B158" s="88">
        <v>244</v>
      </c>
      <c r="C158" s="136" t="s">
        <v>105</v>
      </c>
      <c r="D158" s="96"/>
      <c r="E158" s="122">
        <f t="shared" si="70"/>
        <v>79</v>
      </c>
      <c r="F158" s="118">
        <v>0</v>
      </c>
      <c r="G158" s="118">
        <v>0</v>
      </c>
      <c r="H158" s="118">
        <v>0</v>
      </c>
      <c r="I158" s="122">
        <f t="shared" si="71"/>
        <v>0</v>
      </c>
      <c r="J158" s="134">
        <v>0</v>
      </c>
      <c r="K158" s="134"/>
      <c r="L158" s="134">
        <f>79-79</f>
        <v>0</v>
      </c>
      <c r="M158" s="122">
        <f t="shared" si="72"/>
        <v>0</v>
      </c>
      <c r="N158" s="134"/>
      <c r="O158" s="134"/>
      <c r="P158" s="134"/>
      <c r="Q158" s="122">
        <f t="shared" si="73"/>
        <v>0</v>
      </c>
      <c r="R158" s="118">
        <v>79</v>
      </c>
      <c r="S158" s="118">
        <v>0</v>
      </c>
      <c r="T158" s="118">
        <v>0</v>
      </c>
      <c r="U158" s="122">
        <f t="shared" si="74"/>
        <v>79</v>
      </c>
    </row>
    <row r="159" spans="1:21" ht="53.25" customHeight="1">
      <c r="A159" s="91" t="s">
        <v>311</v>
      </c>
      <c r="B159" s="88">
        <v>244</v>
      </c>
      <c r="C159" s="136"/>
      <c r="D159" s="96"/>
      <c r="E159" s="122">
        <f>I159+M159+Q159+U159</f>
        <v>350</v>
      </c>
      <c r="F159" s="118">
        <f>F160</f>
        <v>0</v>
      </c>
      <c r="G159" s="118">
        <f>G160</f>
        <v>0</v>
      </c>
      <c r="H159" s="118">
        <f>H160</f>
        <v>0</v>
      </c>
      <c r="I159" s="122">
        <f aca="true" t="shared" si="75" ref="I159:I166">SUM(F159:H159)</f>
        <v>0</v>
      </c>
      <c r="J159" s="134">
        <f>J160</f>
        <v>0</v>
      </c>
      <c r="K159" s="134">
        <f>K160</f>
        <v>0</v>
      </c>
      <c r="L159" s="134">
        <f>L160</f>
        <v>0</v>
      </c>
      <c r="M159" s="122">
        <f aca="true" t="shared" si="76" ref="M159:M166">SUM(J159:L159)</f>
        <v>0</v>
      </c>
      <c r="N159" s="134">
        <f>N160</f>
        <v>0</v>
      </c>
      <c r="O159" s="134">
        <f>O160</f>
        <v>0</v>
      </c>
      <c r="P159" s="134">
        <f>P160</f>
        <v>0</v>
      </c>
      <c r="Q159" s="122">
        <f t="shared" si="73"/>
        <v>0</v>
      </c>
      <c r="R159" s="118">
        <f>R160</f>
        <v>350</v>
      </c>
      <c r="S159" s="118">
        <f>S160</f>
        <v>0</v>
      </c>
      <c r="T159" s="118">
        <f>T160</f>
        <v>0</v>
      </c>
      <c r="U159" s="122">
        <f>R159+S159+T159</f>
        <v>350</v>
      </c>
    </row>
    <row r="160" spans="1:21" ht="18.75" customHeight="1">
      <c r="A160" s="92" t="s">
        <v>224</v>
      </c>
      <c r="B160" s="88">
        <v>244</v>
      </c>
      <c r="C160" s="136" t="s">
        <v>105</v>
      </c>
      <c r="D160" s="96"/>
      <c r="E160" s="122">
        <f>I160+M160+Q160+U160</f>
        <v>350</v>
      </c>
      <c r="F160" s="118">
        <v>0</v>
      </c>
      <c r="G160" s="118">
        <v>0</v>
      </c>
      <c r="H160" s="118">
        <v>0</v>
      </c>
      <c r="I160" s="122">
        <f t="shared" si="75"/>
        <v>0</v>
      </c>
      <c r="J160" s="134">
        <v>0</v>
      </c>
      <c r="K160" s="134"/>
      <c r="L160" s="134">
        <f>79-79</f>
        <v>0</v>
      </c>
      <c r="M160" s="122">
        <f t="shared" si="76"/>
        <v>0</v>
      </c>
      <c r="N160" s="134"/>
      <c r="O160" s="134"/>
      <c r="P160" s="134"/>
      <c r="Q160" s="122">
        <f t="shared" si="73"/>
        <v>0</v>
      </c>
      <c r="R160" s="118">
        <v>350</v>
      </c>
      <c r="S160" s="118">
        <v>0</v>
      </c>
      <c r="T160" s="118">
        <v>0</v>
      </c>
      <c r="U160" s="122">
        <f>R160+S160+T160</f>
        <v>350</v>
      </c>
    </row>
    <row r="161" spans="1:21" ht="66.75" customHeight="1">
      <c r="A161" s="91" t="s">
        <v>312</v>
      </c>
      <c r="B161" s="88">
        <v>244</v>
      </c>
      <c r="C161" s="136"/>
      <c r="D161" s="96"/>
      <c r="E161" s="122">
        <f>I161+M161+Q161+U161</f>
        <v>150</v>
      </c>
      <c r="F161" s="118">
        <f>F162</f>
        <v>0</v>
      </c>
      <c r="G161" s="118">
        <f>G162</f>
        <v>0</v>
      </c>
      <c r="H161" s="118">
        <f>H162</f>
        <v>0</v>
      </c>
      <c r="I161" s="122">
        <f t="shared" si="75"/>
        <v>0</v>
      </c>
      <c r="J161" s="134">
        <f>J162</f>
        <v>0</v>
      </c>
      <c r="K161" s="134">
        <f>K162</f>
        <v>0</v>
      </c>
      <c r="L161" s="134">
        <f>L162</f>
        <v>0</v>
      </c>
      <c r="M161" s="122">
        <f t="shared" si="76"/>
        <v>0</v>
      </c>
      <c r="N161" s="134">
        <f>N162</f>
        <v>0</v>
      </c>
      <c r="O161" s="134">
        <f>O162</f>
        <v>0</v>
      </c>
      <c r="P161" s="134">
        <f>P162</f>
        <v>0</v>
      </c>
      <c r="Q161" s="122">
        <f t="shared" si="73"/>
        <v>0</v>
      </c>
      <c r="R161" s="118">
        <f>R162</f>
        <v>150</v>
      </c>
      <c r="S161" s="118">
        <f>S162</f>
        <v>0</v>
      </c>
      <c r="T161" s="118">
        <f>T162</f>
        <v>0</v>
      </c>
      <c r="U161" s="122">
        <f>R161+S161+T161</f>
        <v>150</v>
      </c>
    </row>
    <row r="162" spans="1:21" ht="15.75" customHeight="1">
      <c r="A162" s="156" t="s">
        <v>240</v>
      </c>
      <c r="B162" s="88">
        <v>244</v>
      </c>
      <c r="C162" s="136" t="s">
        <v>99</v>
      </c>
      <c r="D162" s="96"/>
      <c r="E162" s="122">
        <f>I162+M162+Q162+U162</f>
        <v>150</v>
      </c>
      <c r="F162" s="118">
        <v>0</v>
      </c>
      <c r="G162" s="118">
        <v>0</v>
      </c>
      <c r="H162" s="118">
        <v>0</v>
      </c>
      <c r="I162" s="122">
        <f t="shared" si="75"/>
        <v>0</v>
      </c>
      <c r="J162" s="134">
        <v>0</v>
      </c>
      <c r="K162" s="134"/>
      <c r="L162" s="134">
        <f>79-79</f>
        <v>0</v>
      </c>
      <c r="M162" s="122">
        <f t="shared" si="76"/>
        <v>0</v>
      </c>
      <c r="N162" s="134"/>
      <c r="O162" s="134"/>
      <c r="P162" s="134"/>
      <c r="Q162" s="122">
        <f t="shared" si="73"/>
        <v>0</v>
      </c>
      <c r="R162" s="118">
        <v>150</v>
      </c>
      <c r="S162" s="118">
        <v>0</v>
      </c>
      <c r="T162" s="118">
        <v>0</v>
      </c>
      <c r="U162" s="122">
        <f>R162+S162+T162</f>
        <v>150</v>
      </c>
    </row>
    <row r="163" spans="1:21" ht="134.25" customHeight="1" hidden="1">
      <c r="A163" s="89" t="s">
        <v>181</v>
      </c>
      <c r="B163" s="42">
        <v>500</v>
      </c>
      <c r="C163" s="40"/>
      <c r="D163" s="41"/>
      <c r="E163" s="122">
        <f aca="true" t="shared" si="77" ref="E163:E178">I163+M163+Q163+U163</f>
        <v>0</v>
      </c>
      <c r="F163" s="118">
        <f>F164</f>
        <v>0</v>
      </c>
      <c r="G163" s="118">
        <f>G164</f>
        <v>0</v>
      </c>
      <c r="H163" s="118">
        <f>H164</f>
        <v>0</v>
      </c>
      <c r="I163" s="122">
        <f t="shared" si="75"/>
        <v>0</v>
      </c>
      <c r="J163" s="134">
        <f>J164</f>
        <v>0</v>
      </c>
      <c r="K163" s="134">
        <f>K164</f>
        <v>0</v>
      </c>
      <c r="L163" s="134">
        <f>L164</f>
        <v>0</v>
      </c>
      <c r="M163" s="122">
        <f t="shared" si="76"/>
        <v>0</v>
      </c>
      <c r="N163" s="134">
        <f>N164</f>
        <v>0</v>
      </c>
      <c r="O163" s="134">
        <f>O164</f>
        <v>0</v>
      </c>
      <c r="P163" s="134">
        <f>P164</f>
        <v>0</v>
      </c>
      <c r="Q163" s="122">
        <f t="shared" si="73"/>
        <v>0</v>
      </c>
      <c r="R163" s="118">
        <f>R164</f>
        <v>0</v>
      </c>
      <c r="S163" s="118">
        <f>S164</f>
        <v>0</v>
      </c>
      <c r="T163" s="118">
        <f>T164</f>
        <v>0</v>
      </c>
      <c r="U163" s="122">
        <f aca="true" t="shared" si="78" ref="U163:U175">R163+S163+T163</f>
        <v>0</v>
      </c>
    </row>
    <row r="164" spans="1:21" ht="14.25" customHeight="1" hidden="1">
      <c r="A164" s="88" t="s">
        <v>182</v>
      </c>
      <c r="B164" s="39">
        <v>540</v>
      </c>
      <c r="C164" s="40" t="s">
        <v>130</v>
      </c>
      <c r="D164" s="41"/>
      <c r="E164" s="122">
        <f t="shared" si="77"/>
        <v>0</v>
      </c>
      <c r="F164" s="118">
        <v>0</v>
      </c>
      <c r="G164" s="118">
        <v>0</v>
      </c>
      <c r="H164" s="118">
        <v>0</v>
      </c>
      <c r="I164" s="122">
        <f t="shared" si="75"/>
        <v>0</v>
      </c>
      <c r="J164" s="134">
        <v>0</v>
      </c>
      <c r="K164" s="134">
        <v>0</v>
      </c>
      <c r="L164" s="134">
        <f>800-800</f>
        <v>0</v>
      </c>
      <c r="M164" s="122">
        <f t="shared" si="76"/>
        <v>0</v>
      </c>
      <c r="N164" s="134">
        <v>0</v>
      </c>
      <c r="O164" s="134">
        <v>0</v>
      </c>
      <c r="P164" s="134">
        <v>0</v>
      </c>
      <c r="Q164" s="122">
        <f t="shared" si="73"/>
        <v>0</v>
      </c>
      <c r="R164" s="118">
        <v>0</v>
      </c>
      <c r="S164" s="118">
        <v>0</v>
      </c>
      <c r="T164" s="118">
        <v>0</v>
      </c>
      <c r="U164" s="122">
        <f t="shared" si="78"/>
        <v>0</v>
      </c>
    </row>
    <row r="165" spans="1:21" ht="24.75" customHeight="1">
      <c r="A165" s="88" t="s">
        <v>294</v>
      </c>
      <c r="B165" s="42">
        <v>800</v>
      </c>
      <c r="C165" s="40"/>
      <c r="D165" s="41"/>
      <c r="E165" s="122">
        <f>I165+M165+Q165+U165</f>
        <v>1377.9</v>
      </c>
      <c r="F165" s="118">
        <f>F166</f>
        <v>0</v>
      </c>
      <c r="G165" s="118">
        <f>G166</f>
        <v>0</v>
      </c>
      <c r="H165" s="118">
        <f>H166</f>
        <v>0</v>
      </c>
      <c r="I165" s="122">
        <f t="shared" si="75"/>
        <v>0</v>
      </c>
      <c r="J165" s="134">
        <f>J166</f>
        <v>0</v>
      </c>
      <c r="K165" s="134">
        <f>K166</f>
        <v>0</v>
      </c>
      <c r="L165" s="134">
        <f>L166</f>
        <v>0</v>
      </c>
      <c r="M165" s="122">
        <f t="shared" si="76"/>
        <v>0</v>
      </c>
      <c r="N165" s="134">
        <f>N166</f>
        <v>0</v>
      </c>
      <c r="O165" s="134">
        <f>O166</f>
        <v>0</v>
      </c>
      <c r="P165" s="134">
        <f>P166</f>
        <v>0</v>
      </c>
      <c r="Q165" s="122">
        <f t="shared" si="73"/>
        <v>0</v>
      </c>
      <c r="R165" s="118">
        <f>R166</f>
        <v>1377.9</v>
      </c>
      <c r="S165" s="118">
        <f>S166</f>
        <v>0</v>
      </c>
      <c r="T165" s="118">
        <f>T166</f>
        <v>0</v>
      </c>
      <c r="U165" s="122">
        <f t="shared" si="78"/>
        <v>1377.9</v>
      </c>
    </row>
    <row r="166" spans="1:21" ht="14.25" customHeight="1">
      <c r="A166" s="88" t="s">
        <v>224</v>
      </c>
      <c r="B166" s="39">
        <v>870</v>
      </c>
      <c r="C166" s="40" t="s">
        <v>103</v>
      </c>
      <c r="D166" s="41"/>
      <c r="E166" s="122">
        <f>I166+M166+Q166+U166</f>
        <v>1377.9</v>
      </c>
      <c r="F166" s="118">
        <v>0</v>
      </c>
      <c r="G166" s="118">
        <v>0</v>
      </c>
      <c r="H166" s="118">
        <v>0</v>
      </c>
      <c r="I166" s="122">
        <f t="shared" si="75"/>
        <v>0</v>
      </c>
      <c r="J166" s="134">
        <v>0</v>
      </c>
      <c r="K166" s="134"/>
      <c r="L166" s="134">
        <f>1377.9-1377.9</f>
        <v>0</v>
      </c>
      <c r="M166" s="122">
        <f t="shared" si="76"/>
        <v>0</v>
      </c>
      <c r="N166" s="134"/>
      <c r="O166" s="134"/>
      <c r="P166" s="134"/>
      <c r="Q166" s="122">
        <f t="shared" si="73"/>
        <v>0</v>
      </c>
      <c r="R166" s="118">
        <v>1377.9</v>
      </c>
      <c r="S166" s="118">
        <v>0</v>
      </c>
      <c r="T166" s="118">
        <v>0</v>
      </c>
      <c r="U166" s="122">
        <f t="shared" si="78"/>
        <v>1377.9</v>
      </c>
    </row>
    <row r="167" spans="1:21" ht="18" customHeight="1">
      <c r="A167" s="89" t="s">
        <v>162</v>
      </c>
      <c r="B167" s="42"/>
      <c r="C167" s="40"/>
      <c r="D167" s="41"/>
      <c r="E167" s="116">
        <f t="shared" si="77"/>
        <v>1400</v>
      </c>
      <c r="F167" s="119">
        <f>F168+F174+F170+F172+F176</f>
        <v>0</v>
      </c>
      <c r="G167" s="119">
        <f>G168+G174+G170+G172+G176</f>
        <v>0</v>
      </c>
      <c r="H167" s="119">
        <f>H168+H174+H170+H172+H176</f>
        <v>246.13143</v>
      </c>
      <c r="I167" s="116">
        <f aca="true" t="shared" si="79" ref="I167:I175">F167+G167+H167</f>
        <v>246.13143</v>
      </c>
      <c r="J167" s="119">
        <f>J168+J174+J170+J172+J176</f>
        <v>119.21479</v>
      </c>
      <c r="K167" s="161">
        <f>K168+K174+K170+K172+K176</f>
        <v>163.1962</v>
      </c>
      <c r="L167" s="161">
        <f>L168+L174+L170+L172+L176</f>
        <v>128.11405</v>
      </c>
      <c r="M167" s="116">
        <f>J167+K167++L167</f>
        <v>410.52504</v>
      </c>
      <c r="N167" s="161">
        <f>N168+N174+N170+N172+N176</f>
        <v>0</v>
      </c>
      <c r="O167" s="161">
        <f>O168+O174+O170+O172+O176</f>
        <v>243.18758</v>
      </c>
      <c r="P167" s="161">
        <f>P168+P174+P170+P172+P176</f>
        <v>242.69064</v>
      </c>
      <c r="Q167" s="116">
        <f>N167+O167+P167</f>
        <v>485.87822</v>
      </c>
      <c r="R167" s="119">
        <f>R168+R174+R170+R172+R176</f>
        <v>44.99999999999993</v>
      </c>
      <c r="S167" s="119">
        <f>S168+S174+S170+S172+S176</f>
        <v>94.07336000000001</v>
      </c>
      <c r="T167" s="119">
        <f>T168+T174+T170+T172+T176</f>
        <v>118.39194999999998</v>
      </c>
      <c r="U167" s="116">
        <f t="shared" si="78"/>
        <v>257.46530999999993</v>
      </c>
    </row>
    <row r="168" spans="1:21" ht="31.5" customHeight="1" hidden="1">
      <c r="A168" s="89" t="s">
        <v>247</v>
      </c>
      <c r="B168" s="42">
        <v>240</v>
      </c>
      <c r="C168" s="40"/>
      <c r="D168" s="41"/>
      <c r="E168" s="109">
        <f t="shared" si="77"/>
        <v>0</v>
      </c>
      <c r="F168" s="117">
        <f>F169</f>
        <v>0</v>
      </c>
      <c r="G168" s="117">
        <f>G169</f>
        <v>0</v>
      </c>
      <c r="H168" s="117">
        <f>H169</f>
        <v>0</v>
      </c>
      <c r="I168" s="109">
        <f t="shared" si="79"/>
        <v>0</v>
      </c>
      <c r="J168" s="133">
        <f>J169</f>
        <v>0</v>
      </c>
      <c r="K168" s="133">
        <f>K169</f>
        <v>0</v>
      </c>
      <c r="L168" s="133">
        <f>L169</f>
        <v>0</v>
      </c>
      <c r="M168" s="109">
        <f aca="true" t="shared" si="80" ref="M168:M175">J168+K168+L168</f>
        <v>0</v>
      </c>
      <c r="N168" s="133">
        <f>N169</f>
        <v>0</v>
      </c>
      <c r="O168" s="133">
        <f>O169</f>
        <v>0</v>
      </c>
      <c r="P168" s="133">
        <f>P169</f>
        <v>0</v>
      </c>
      <c r="Q168" s="109">
        <f aca="true" t="shared" si="81" ref="Q168:Q175">N168+O168+P168</f>
        <v>0</v>
      </c>
      <c r="R168" s="117">
        <f>R169</f>
        <v>0</v>
      </c>
      <c r="S168" s="117">
        <f>S169</f>
        <v>0</v>
      </c>
      <c r="T168" s="117">
        <f>T169</f>
        <v>0</v>
      </c>
      <c r="U168" s="109">
        <f t="shared" si="78"/>
        <v>0</v>
      </c>
    </row>
    <row r="169" spans="1:21" ht="12.75" hidden="1">
      <c r="A169" s="88" t="s">
        <v>178</v>
      </c>
      <c r="B169" s="39">
        <v>244</v>
      </c>
      <c r="C169" s="40" t="s">
        <v>103</v>
      </c>
      <c r="D169" s="41"/>
      <c r="E169" s="109">
        <f t="shared" si="77"/>
        <v>0</v>
      </c>
      <c r="F169" s="117"/>
      <c r="G169" s="117"/>
      <c r="H169" s="117"/>
      <c r="I169" s="109">
        <f t="shared" si="79"/>
        <v>0</v>
      </c>
      <c r="J169" s="133"/>
      <c r="K169" s="133"/>
      <c r="L169" s="133"/>
      <c r="M169" s="109">
        <f t="shared" si="80"/>
        <v>0</v>
      </c>
      <c r="N169" s="133"/>
      <c r="O169" s="133"/>
      <c r="P169" s="133"/>
      <c r="Q169" s="109">
        <f t="shared" si="81"/>
        <v>0</v>
      </c>
      <c r="R169" s="117"/>
      <c r="S169" s="117"/>
      <c r="T169" s="117"/>
      <c r="U169" s="109">
        <f t="shared" si="78"/>
        <v>0</v>
      </c>
    </row>
    <row r="170" spans="1:21" ht="61.5">
      <c r="A170" s="89" t="s">
        <v>248</v>
      </c>
      <c r="B170" s="42">
        <v>240</v>
      </c>
      <c r="C170" s="40"/>
      <c r="D170" s="41"/>
      <c r="E170" s="109">
        <f t="shared" si="77"/>
        <v>1314.37064</v>
      </c>
      <c r="F170" s="117">
        <f>F171</f>
        <v>0</v>
      </c>
      <c r="G170" s="117">
        <f>G171</f>
        <v>0</v>
      </c>
      <c r="H170" s="117">
        <f>H171</f>
        <v>246.13143</v>
      </c>
      <c r="I170" s="109">
        <f t="shared" si="79"/>
        <v>246.13143</v>
      </c>
      <c r="J170" s="133">
        <f>J171</f>
        <v>119.21479</v>
      </c>
      <c r="K170" s="133">
        <f>K171</f>
        <v>122.56684</v>
      </c>
      <c r="L170" s="133">
        <f>L171</f>
        <v>128.11405</v>
      </c>
      <c r="M170" s="109">
        <f t="shared" si="80"/>
        <v>369.89567999999997</v>
      </c>
      <c r="N170" s="133">
        <f>N171</f>
        <v>0</v>
      </c>
      <c r="O170" s="133">
        <f>O171</f>
        <v>243.18758</v>
      </c>
      <c r="P170" s="133">
        <f>P171</f>
        <v>242.69064</v>
      </c>
      <c r="Q170" s="109">
        <f t="shared" si="81"/>
        <v>485.87822</v>
      </c>
      <c r="R170" s="117">
        <f>R171</f>
        <v>0</v>
      </c>
      <c r="S170" s="117">
        <f>S171</f>
        <v>94.07336000000001</v>
      </c>
      <c r="T170" s="117">
        <f>T171</f>
        <v>118.39194999999998</v>
      </c>
      <c r="U170" s="109">
        <f t="shared" si="78"/>
        <v>212.46531</v>
      </c>
    </row>
    <row r="171" spans="1:21" ht="12.75">
      <c r="A171" s="88" t="s">
        <v>178</v>
      </c>
      <c r="B171" s="39">
        <v>244</v>
      </c>
      <c r="C171" s="40" t="s">
        <v>103</v>
      </c>
      <c r="D171" s="41"/>
      <c r="E171" s="109">
        <f t="shared" si="77"/>
        <v>1314.37064</v>
      </c>
      <c r="F171" s="117">
        <v>0</v>
      </c>
      <c r="G171" s="117">
        <v>0</v>
      </c>
      <c r="H171" s="117">
        <f>253.6-7.46857</f>
        <v>246.13143</v>
      </c>
      <c r="I171" s="109">
        <f t="shared" si="79"/>
        <v>246.13143</v>
      </c>
      <c r="J171" s="133">
        <v>119.21479</v>
      </c>
      <c r="K171" s="133">
        <v>122.56684</v>
      </c>
      <c r="L171" s="133">
        <f>124.34+14.34694-10.57289</f>
        <v>128.11405</v>
      </c>
      <c r="M171" s="109">
        <f t="shared" si="80"/>
        <v>369.89567999999997</v>
      </c>
      <c r="N171" s="133"/>
      <c r="O171" s="133">
        <v>243.18758</v>
      </c>
      <c r="P171" s="133">
        <v>242.69064</v>
      </c>
      <c r="Q171" s="109">
        <f t="shared" si="81"/>
        <v>485.87822</v>
      </c>
      <c r="R171" s="117">
        <f>164.13-45.748-118.382</f>
        <v>0</v>
      </c>
      <c r="S171" s="117">
        <f>164.13-45.748-24.30864</f>
        <v>94.07336000000001</v>
      </c>
      <c r="T171" s="117">
        <f>164.14-45.74805</f>
        <v>118.39194999999998</v>
      </c>
      <c r="U171" s="109">
        <f t="shared" si="78"/>
        <v>212.46531</v>
      </c>
    </row>
    <row r="172" spans="1:21" ht="21" hidden="1">
      <c r="A172" s="89" t="s">
        <v>249</v>
      </c>
      <c r="B172" s="42">
        <v>240</v>
      </c>
      <c r="C172" s="40"/>
      <c r="D172" s="41"/>
      <c r="E172" s="109">
        <f t="shared" si="77"/>
        <v>0</v>
      </c>
      <c r="F172" s="117">
        <f>F173</f>
        <v>0</v>
      </c>
      <c r="G172" s="117">
        <f>G173</f>
        <v>0</v>
      </c>
      <c r="H172" s="117">
        <f>H173</f>
        <v>0</v>
      </c>
      <c r="I172" s="109">
        <f t="shared" si="79"/>
        <v>0</v>
      </c>
      <c r="J172" s="133">
        <f>J173</f>
        <v>0</v>
      </c>
      <c r="K172" s="133">
        <f>K173</f>
        <v>0</v>
      </c>
      <c r="L172" s="133">
        <f>L173</f>
        <v>0</v>
      </c>
      <c r="M172" s="109">
        <f t="shared" si="80"/>
        <v>0</v>
      </c>
      <c r="N172" s="133">
        <f>N173</f>
        <v>0</v>
      </c>
      <c r="O172" s="133">
        <f>O173</f>
        <v>0</v>
      </c>
      <c r="P172" s="133">
        <f>P173</f>
        <v>0</v>
      </c>
      <c r="Q172" s="109">
        <f t="shared" si="81"/>
        <v>0</v>
      </c>
      <c r="R172" s="117">
        <f>R173</f>
        <v>0</v>
      </c>
      <c r="S172" s="117">
        <f>S173</f>
        <v>0</v>
      </c>
      <c r="T172" s="117">
        <f>T173</f>
        <v>0</v>
      </c>
      <c r="U172" s="109">
        <f t="shared" si="78"/>
        <v>0</v>
      </c>
    </row>
    <row r="173" spans="1:21" ht="12.75" hidden="1">
      <c r="A173" s="88" t="s">
        <v>178</v>
      </c>
      <c r="B173" s="39">
        <v>244</v>
      </c>
      <c r="C173" s="40" t="s">
        <v>103</v>
      </c>
      <c r="D173" s="41"/>
      <c r="E173" s="109">
        <f t="shared" si="77"/>
        <v>0</v>
      </c>
      <c r="F173" s="117"/>
      <c r="G173" s="117"/>
      <c r="H173" s="117"/>
      <c r="I173" s="109">
        <f t="shared" si="79"/>
        <v>0</v>
      </c>
      <c r="J173" s="133"/>
      <c r="K173" s="133"/>
      <c r="L173" s="133"/>
      <c r="M173" s="109">
        <f t="shared" si="80"/>
        <v>0</v>
      </c>
      <c r="N173" s="133"/>
      <c r="O173" s="133"/>
      <c r="P173" s="133"/>
      <c r="Q173" s="109">
        <f t="shared" si="81"/>
        <v>0</v>
      </c>
      <c r="R173" s="117"/>
      <c r="S173" s="117"/>
      <c r="T173" s="117"/>
      <c r="U173" s="109">
        <f t="shared" si="78"/>
        <v>0</v>
      </c>
    </row>
    <row r="174" spans="1:21" ht="44.25" customHeight="1">
      <c r="A174" s="89" t="s">
        <v>183</v>
      </c>
      <c r="B174" s="42">
        <v>630</v>
      </c>
      <c r="C174" s="40"/>
      <c r="D174" s="41"/>
      <c r="E174" s="109">
        <f t="shared" si="77"/>
        <v>40.62935999999993</v>
      </c>
      <c r="F174" s="117">
        <f>F175</f>
        <v>0</v>
      </c>
      <c r="G174" s="117">
        <f>G175</f>
        <v>0</v>
      </c>
      <c r="H174" s="117">
        <f>H175</f>
        <v>0</v>
      </c>
      <c r="I174" s="109">
        <f t="shared" si="79"/>
        <v>0</v>
      </c>
      <c r="J174" s="133">
        <f>J175</f>
        <v>0</v>
      </c>
      <c r="K174" s="133">
        <f>K175</f>
        <v>40.62936</v>
      </c>
      <c r="L174" s="133">
        <f>L175</f>
        <v>0</v>
      </c>
      <c r="M174" s="109">
        <f t="shared" si="80"/>
        <v>40.62936</v>
      </c>
      <c r="N174" s="133">
        <f>N175</f>
        <v>0</v>
      </c>
      <c r="O174" s="133">
        <f>O175</f>
        <v>0</v>
      </c>
      <c r="P174" s="133">
        <f>P175</f>
        <v>0</v>
      </c>
      <c r="Q174" s="109">
        <f t="shared" si="81"/>
        <v>0</v>
      </c>
      <c r="R174" s="117">
        <f>R175</f>
        <v>-7.194245199571014E-14</v>
      </c>
      <c r="S174" s="117">
        <f>S175</f>
        <v>0</v>
      </c>
      <c r="T174" s="117">
        <f>T175</f>
        <v>0</v>
      </c>
      <c r="U174" s="109">
        <f t="shared" si="78"/>
        <v>-7.194245199571014E-14</v>
      </c>
    </row>
    <row r="175" spans="1:21" ht="12.75" customHeight="1">
      <c r="A175" s="88" t="s">
        <v>184</v>
      </c>
      <c r="B175" s="39">
        <v>634</v>
      </c>
      <c r="C175" s="40" t="s">
        <v>134</v>
      </c>
      <c r="D175" s="41"/>
      <c r="E175" s="109">
        <f t="shared" si="77"/>
        <v>40.62935999999993</v>
      </c>
      <c r="F175" s="117">
        <v>0</v>
      </c>
      <c r="G175" s="117">
        <v>0</v>
      </c>
      <c r="H175" s="117">
        <f>39.76-39.76</f>
        <v>0</v>
      </c>
      <c r="I175" s="109">
        <f t="shared" si="79"/>
        <v>0</v>
      </c>
      <c r="J175" s="133"/>
      <c r="K175" s="133">
        <v>40.62936</v>
      </c>
      <c r="L175" s="133">
        <f>127.18156-127.18156</f>
        <v>0</v>
      </c>
      <c r="M175" s="109">
        <f t="shared" si="80"/>
        <v>40.62936</v>
      </c>
      <c r="N175" s="133">
        <v>0</v>
      </c>
      <c r="O175" s="133">
        <v>0</v>
      </c>
      <c r="P175" s="133">
        <v>0</v>
      </c>
      <c r="Q175" s="109">
        <f t="shared" si="81"/>
        <v>0</v>
      </c>
      <c r="R175" s="117">
        <f>607.3-0.86936-127.18156-471.48865-7.76043</f>
        <v>-7.194245199571014E-14</v>
      </c>
      <c r="S175" s="117"/>
      <c r="T175" s="117">
        <v>0</v>
      </c>
      <c r="U175" s="109">
        <f t="shared" si="78"/>
        <v>-7.194245199571014E-14</v>
      </c>
    </row>
    <row r="176" spans="1:21" ht="96.75" customHeight="1">
      <c r="A176" s="151" t="s">
        <v>298</v>
      </c>
      <c r="B176" s="39"/>
      <c r="C176" s="40"/>
      <c r="D176" s="41"/>
      <c r="E176" s="109">
        <f>I176+M176+Q176+U176</f>
        <v>45</v>
      </c>
      <c r="F176" s="117">
        <f>F177+F179+F181</f>
        <v>0</v>
      </c>
      <c r="G176" s="117">
        <f>G177+G179+G181</f>
        <v>0</v>
      </c>
      <c r="H176" s="117">
        <f>H177+H179+H181</f>
        <v>0</v>
      </c>
      <c r="I176" s="109">
        <f>F176+G176+H176</f>
        <v>0</v>
      </c>
      <c r="J176" s="117">
        <f>J177+J179+J181</f>
        <v>0</v>
      </c>
      <c r="K176" s="117">
        <f>K177+K179+K181</f>
        <v>0</v>
      </c>
      <c r="L176" s="133">
        <f>L177+L179+L181</f>
        <v>0</v>
      </c>
      <c r="M176" s="109">
        <f>J176+K176+L176</f>
        <v>0</v>
      </c>
      <c r="N176" s="133">
        <f>N177+N179+N181</f>
        <v>0</v>
      </c>
      <c r="O176" s="133">
        <f>O177+O179+O181</f>
        <v>0</v>
      </c>
      <c r="P176" s="133">
        <f>P177+P179+P181</f>
        <v>0</v>
      </c>
      <c r="Q176" s="109">
        <f>SUM(N176:P176)</f>
        <v>0</v>
      </c>
      <c r="R176" s="117">
        <f>R177+R179+R181</f>
        <v>45</v>
      </c>
      <c r="S176" s="117">
        <f>S177+S179+S181</f>
        <v>0</v>
      </c>
      <c r="T176" s="117">
        <f>T177+T179+T181</f>
        <v>0</v>
      </c>
      <c r="U176" s="109">
        <f>SUM(R176:T176)</f>
        <v>45</v>
      </c>
    </row>
    <row r="177" spans="1:21" ht="63.75" customHeight="1" hidden="1">
      <c r="A177" s="165" t="s">
        <v>296</v>
      </c>
      <c r="B177" s="39">
        <v>240</v>
      </c>
      <c r="C177" s="40"/>
      <c r="D177" s="41"/>
      <c r="E177" s="130">
        <f>I177+M177+Q177+U177</f>
        <v>0</v>
      </c>
      <c r="F177" s="133">
        <f>F178</f>
        <v>0</v>
      </c>
      <c r="G177" s="133">
        <f>G178</f>
        <v>0</v>
      </c>
      <c r="H177" s="133">
        <f>H178</f>
        <v>0</v>
      </c>
      <c r="I177" s="130">
        <f>F177+G177+H177</f>
        <v>0</v>
      </c>
      <c r="J177" s="133">
        <f>J178</f>
        <v>0</v>
      </c>
      <c r="K177" s="133">
        <f>K178</f>
        <v>0</v>
      </c>
      <c r="L177" s="133">
        <f>L178</f>
        <v>0</v>
      </c>
      <c r="M177" s="130">
        <f>J177+K177+L177</f>
        <v>0</v>
      </c>
      <c r="N177" s="133">
        <f>N178</f>
        <v>0</v>
      </c>
      <c r="O177" s="133">
        <f>O178</f>
        <v>0</v>
      </c>
      <c r="P177" s="133">
        <f>P178</f>
        <v>0</v>
      </c>
      <c r="Q177" s="130">
        <f>N177+O177+P177</f>
        <v>0</v>
      </c>
      <c r="R177" s="133">
        <f>R178</f>
        <v>0</v>
      </c>
      <c r="S177" s="133">
        <f>S178</f>
        <v>0</v>
      </c>
      <c r="T177" s="133">
        <f>T178</f>
        <v>0</v>
      </c>
      <c r="U177" s="130">
        <f>R177+S177+T177</f>
        <v>0</v>
      </c>
    </row>
    <row r="178" spans="1:21" ht="12.75" customHeight="1" hidden="1">
      <c r="A178" s="106" t="s">
        <v>281</v>
      </c>
      <c r="B178" s="39">
        <v>244</v>
      </c>
      <c r="C178" s="40" t="s">
        <v>103</v>
      </c>
      <c r="D178" s="41"/>
      <c r="E178" s="130">
        <f t="shared" si="77"/>
        <v>0</v>
      </c>
      <c r="F178" s="133">
        <v>0</v>
      </c>
      <c r="G178" s="133"/>
      <c r="H178" s="133"/>
      <c r="I178" s="130">
        <f>F178+G178+H178</f>
        <v>0</v>
      </c>
      <c r="J178" s="133"/>
      <c r="K178" s="133"/>
      <c r="L178" s="133">
        <f>5031.18244-5031.18244</f>
        <v>0</v>
      </c>
      <c r="M178" s="130">
        <f>J178+K178+L178</f>
        <v>0</v>
      </c>
      <c r="N178" s="133">
        <v>0</v>
      </c>
      <c r="O178" s="133">
        <v>0</v>
      </c>
      <c r="P178" s="133">
        <v>0</v>
      </c>
      <c r="Q178" s="130">
        <f>N178+O178+P178</f>
        <v>0</v>
      </c>
      <c r="R178" s="133"/>
      <c r="S178" s="133">
        <v>0</v>
      </c>
      <c r="T178" s="133">
        <v>0</v>
      </c>
      <c r="U178" s="130">
        <f>R178+S178+T178</f>
        <v>0</v>
      </c>
    </row>
    <row r="179" spans="1:21" ht="111" customHeight="1" hidden="1">
      <c r="A179" s="150" t="s">
        <v>297</v>
      </c>
      <c r="B179" s="39">
        <v>240</v>
      </c>
      <c r="C179" s="40"/>
      <c r="D179" s="41"/>
      <c r="E179" s="130">
        <f>I179+M179+Q179+U179</f>
        <v>0</v>
      </c>
      <c r="F179" s="133">
        <f>F180</f>
        <v>0</v>
      </c>
      <c r="G179" s="133">
        <f>G180</f>
        <v>0</v>
      </c>
      <c r="H179" s="133">
        <f>H180</f>
        <v>0</v>
      </c>
      <c r="I179" s="130">
        <f>F179+G179+H179</f>
        <v>0</v>
      </c>
      <c r="J179" s="133">
        <f>J180</f>
        <v>0</v>
      </c>
      <c r="K179" s="133">
        <f>K180</f>
        <v>0</v>
      </c>
      <c r="L179" s="133">
        <f>L180</f>
        <v>0</v>
      </c>
      <c r="M179" s="130">
        <f>J179+K179+L179</f>
        <v>0</v>
      </c>
      <c r="N179" s="133">
        <f>N180</f>
        <v>0</v>
      </c>
      <c r="O179" s="133">
        <f>O180</f>
        <v>0</v>
      </c>
      <c r="P179" s="133">
        <f>P180</f>
        <v>0</v>
      </c>
      <c r="Q179" s="130">
        <f>N179+O179+P179</f>
        <v>0</v>
      </c>
      <c r="R179" s="133">
        <f>R180</f>
        <v>0</v>
      </c>
      <c r="S179" s="133">
        <f>S180</f>
        <v>0</v>
      </c>
      <c r="T179" s="133">
        <f>T180</f>
        <v>0</v>
      </c>
      <c r="U179" s="130">
        <f>R179+S179+T179</f>
        <v>0</v>
      </c>
    </row>
    <row r="180" spans="1:21" ht="12.75" customHeight="1" hidden="1">
      <c r="A180" s="103" t="s">
        <v>276</v>
      </c>
      <c r="B180" s="39">
        <v>244</v>
      </c>
      <c r="C180" s="40" t="s">
        <v>103</v>
      </c>
      <c r="D180" s="41"/>
      <c r="E180" s="130">
        <f>I180+M180+Q180+U180</f>
        <v>0</v>
      </c>
      <c r="F180" s="133"/>
      <c r="G180" s="133"/>
      <c r="H180" s="133"/>
      <c r="I180" s="130">
        <f>F180+G180+H180</f>
        <v>0</v>
      </c>
      <c r="J180" s="133"/>
      <c r="K180" s="133"/>
      <c r="L180" s="133">
        <f>559.02027-559.02027</f>
        <v>0</v>
      </c>
      <c r="M180" s="130">
        <f>J180+K180+L180</f>
        <v>0</v>
      </c>
      <c r="N180" s="133"/>
      <c r="O180" s="133"/>
      <c r="P180" s="133"/>
      <c r="Q180" s="130">
        <f>N180+O180+P180</f>
        <v>0</v>
      </c>
      <c r="R180" s="133"/>
      <c r="S180" s="133"/>
      <c r="T180" s="133"/>
      <c r="U180" s="130">
        <f>R180+S180+T180</f>
        <v>0</v>
      </c>
    </row>
    <row r="181" spans="1:21" ht="44.25" customHeight="1">
      <c r="A181" s="164" t="s">
        <v>305</v>
      </c>
      <c r="B181" s="39">
        <v>244</v>
      </c>
      <c r="C181" s="40"/>
      <c r="D181" s="41"/>
      <c r="E181" s="130">
        <f>I181+M181+Q181+U181</f>
        <v>45</v>
      </c>
      <c r="F181" s="133">
        <f>F182</f>
        <v>0</v>
      </c>
      <c r="G181" s="133">
        <f>G182</f>
        <v>0</v>
      </c>
      <c r="H181" s="133">
        <f>H182</f>
        <v>0</v>
      </c>
      <c r="I181" s="130">
        <f>SUM(F181:H181)</f>
        <v>0</v>
      </c>
      <c r="J181" s="133">
        <f>J182</f>
        <v>0</v>
      </c>
      <c r="K181" s="133">
        <f>K182</f>
        <v>0</v>
      </c>
      <c r="L181" s="133">
        <f>L182</f>
        <v>0</v>
      </c>
      <c r="M181" s="130">
        <f>SUM(J181:L181)</f>
        <v>0</v>
      </c>
      <c r="N181" s="133">
        <f>N182</f>
        <v>0</v>
      </c>
      <c r="O181" s="133">
        <f>O182</f>
        <v>0</v>
      </c>
      <c r="P181" s="133">
        <f>P182</f>
        <v>0</v>
      </c>
      <c r="Q181" s="130">
        <f>SUM(N181:P181)</f>
        <v>0</v>
      </c>
      <c r="R181" s="133">
        <f>R182</f>
        <v>45</v>
      </c>
      <c r="S181" s="133">
        <f>S182</f>
        <v>0</v>
      </c>
      <c r="T181" s="133">
        <f>T182</f>
        <v>0</v>
      </c>
      <c r="U181" s="130">
        <f>SUM(R181:T181)</f>
        <v>45</v>
      </c>
    </row>
    <row r="182" spans="1:21" ht="12.75" customHeight="1">
      <c r="A182" s="156" t="s">
        <v>224</v>
      </c>
      <c r="B182" s="39">
        <v>244</v>
      </c>
      <c r="C182" s="40" t="s">
        <v>105</v>
      </c>
      <c r="D182" s="41"/>
      <c r="E182" s="130">
        <f>I182+M182+Q182+U182</f>
        <v>45</v>
      </c>
      <c r="F182" s="133"/>
      <c r="G182" s="133"/>
      <c r="H182" s="133"/>
      <c r="I182" s="130"/>
      <c r="J182" s="133"/>
      <c r="K182" s="133"/>
      <c r="L182" s="133">
        <f>45-45</f>
        <v>0</v>
      </c>
      <c r="M182" s="130">
        <f>SUM(J182:L182)</f>
        <v>0</v>
      </c>
      <c r="N182" s="133"/>
      <c r="O182" s="133"/>
      <c r="P182" s="133"/>
      <c r="Q182" s="130">
        <f>SUM(N182:P182)</f>
        <v>0</v>
      </c>
      <c r="R182" s="133">
        <v>45</v>
      </c>
      <c r="S182" s="133"/>
      <c r="T182" s="133"/>
      <c r="U182" s="130">
        <f>SUM(R182:T182)</f>
        <v>45</v>
      </c>
    </row>
    <row r="183" spans="1:21" ht="18.75" customHeight="1">
      <c r="A183" s="89" t="s">
        <v>135</v>
      </c>
      <c r="B183" s="42"/>
      <c r="C183" s="43"/>
      <c r="D183" s="44"/>
      <c r="E183" s="116">
        <f>M183+Q183+U183+I183</f>
        <v>5952.698</v>
      </c>
      <c r="F183" s="119">
        <f>F186+F184+F193+F200+F188</f>
        <v>0</v>
      </c>
      <c r="G183" s="119">
        <f>G186+G184+G193+G200+G188</f>
        <v>0</v>
      </c>
      <c r="H183" s="119">
        <f>H186+H184+H193+H200+H188</f>
        <v>1.8</v>
      </c>
      <c r="I183" s="116">
        <f>SUM(F183:H183)</f>
        <v>1.8</v>
      </c>
      <c r="J183" s="119">
        <f>J186+J184+J193+J200+J188</f>
        <v>0</v>
      </c>
      <c r="K183" s="161">
        <f>K186+K184+K193+K200+K188</f>
        <v>0.648</v>
      </c>
      <c r="L183" s="161">
        <f>L186+L184+L193+L200+L188</f>
        <v>0</v>
      </c>
      <c r="M183" s="116">
        <f>SUM(J183:L183)</f>
        <v>0.648</v>
      </c>
      <c r="N183" s="161">
        <f>N186+N184+N193+N200+N188</f>
        <v>199.5</v>
      </c>
      <c r="O183" s="161">
        <f>O186+O184+O193+O200+O188</f>
        <v>1576.973</v>
      </c>
      <c r="P183" s="161">
        <f>P186+P184+P193+P200+P188</f>
        <v>0</v>
      </c>
      <c r="Q183" s="116">
        <f>SUM(N183:P183)</f>
        <v>1776.473</v>
      </c>
      <c r="R183" s="119">
        <f>R186+R184+R193+R200+R188</f>
        <v>4173.777</v>
      </c>
      <c r="S183" s="119">
        <f>S186+S184+S193+S200+S188</f>
        <v>0</v>
      </c>
      <c r="T183" s="119">
        <f>T186+T184+T193+T200+T188</f>
        <v>0</v>
      </c>
      <c r="U183" s="116">
        <f>SUM(R183:T183)</f>
        <v>4173.777</v>
      </c>
    </row>
    <row r="184" spans="1:21" ht="45" customHeight="1" hidden="1">
      <c r="A184" s="89" t="s">
        <v>244</v>
      </c>
      <c r="B184" s="42">
        <v>240</v>
      </c>
      <c r="C184" s="40"/>
      <c r="D184" s="41"/>
      <c r="E184" s="109">
        <f aca="true" t="shared" si="82" ref="E184:E195">I184+M184+Q184+U184</f>
        <v>0</v>
      </c>
      <c r="F184" s="117">
        <f>F185</f>
        <v>0</v>
      </c>
      <c r="G184" s="117">
        <f>G185</f>
        <v>0</v>
      </c>
      <c r="H184" s="117">
        <f>H185</f>
        <v>0</v>
      </c>
      <c r="I184" s="109">
        <f>F184+G184+H184</f>
        <v>0</v>
      </c>
      <c r="J184" s="133">
        <f>J185</f>
        <v>0</v>
      </c>
      <c r="K184" s="133">
        <f>K185</f>
        <v>0</v>
      </c>
      <c r="L184" s="133">
        <f>L185</f>
        <v>0</v>
      </c>
      <c r="M184" s="109">
        <f>J184+K184+L184</f>
        <v>0</v>
      </c>
      <c r="N184" s="133">
        <f>N185</f>
        <v>0</v>
      </c>
      <c r="O184" s="133">
        <f>O185</f>
        <v>0</v>
      </c>
      <c r="P184" s="133">
        <f>P185</f>
        <v>0</v>
      </c>
      <c r="Q184" s="109">
        <f>N184+O184+P184</f>
        <v>0</v>
      </c>
      <c r="R184" s="117">
        <f>R185</f>
        <v>0</v>
      </c>
      <c r="S184" s="117">
        <f>S185</f>
        <v>0</v>
      </c>
      <c r="T184" s="117">
        <f>T185</f>
        <v>0</v>
      </c>
      <c r="U184" s="109">
        <f>R184+S184+T184</f>
        <v>0</v>
      </c>
    </row>
    <row r="185" spans="1:21" ht="12.75" customHeight="1" hidden="1">
      <c r="A185" s="88" t="s">
        <v>237</v>
      </c>
      <c r="B185" s="39">
        <v>244</v>
      </c>
      <c r="C185" s="40" t="s">
        <v>105</v>
      </c>
      <c r="D185" s="41"/>
      <c r="E185" s="109">
        <f t="shared" si="82"/>
        <v>0</v>
      </c>
      <c r="F185" s="117"/>
      <c r="G185" s="117"/>
      <c r="H185" s="117"/>
      <c r="I185" s="109">
        <f>F185+G185+H185</f>
        <v>0</v>
      </c>
      <c r="J185" s="133"/>
      <c r="K185" s="133"/>
      <c r="L185" s="133"/>
      <c r="M185" s="109">
        <f>J185+K185+L185</f>
        <v>0</v>
      </c>
      <c r="N185" s="133"/>
      <c r="O185" s="133"/>
      <c r="P185" s="133"/>
      <c r="Q185" s="109">
        <f>N185+O185+P185</f>
        <v>0</v>
      </c>
      <c r="R185" s="117"/>
      <c r="S185" s="117"/>
      <c r="T185" s="117"/>
      <c r="U185" s="109">
        <f>R185+S185+T185</f>
        <v>0</v>
      </c>
    </row>
    <row r="186" spans="1:21" ht="138" customHeight="1" hidden="1">
      <c r="A186" s="89" t="s">
        <v>181</v>
      </c>
      <c r="B186" s="42">
        <v>500</v>
      </c>
      <c r="C186" s="40"/>
      <c r="D186" s="41"/>
      <c r="E186" s="122">
        <f t="shared" si="82"/>
        <v>0</v>
      </c>
      <c r="F186" s="118">
        <f>F187</f>
        <v>0</v>
      </c>
      <c r="G186" s="118">
        <f>G187</f>
        <v>0</v>
      </c>
      <c r="H186" s="118">
        <f>H187</f>
        <v>0</v>
      </c>
      <c r="I186" s="122">
        <f>SUM(F186:H186)</f>
        <v>0</v>
      </c>
      <c r="J186" s="134">
        <f>J187</f>
        <v>0</v>
      </c>
      <c r="K186" s="134">
        <f>K187</f>
        <v>0</v>
      </c>
      <c r="L186" s="134">
        <f>L187</f>
        <v>0</v>
      </c>
      <c r="M186" s="122">
        <f>SUM(J186:L186)</f>
        <v>0</v>
      </c>
      <c r="N186" s="134">
        <f>N187</f>
        <v>0</v>
      </c>
      <c r="O186" s="134">
        <f>O187</f>
        <v>0</v>
      </c>
      <c r="P186" s="134">
        <f>P187</f>
        <v>0</v>
      </c>
      <c r="Q186" s="122">
        <f>SUM(N186:P186)</f>
        <v>0</v>
      </c>
      <c r="R186" s="118">
        <f>R187</f>
        <v>0</v>
      </c>
      <c r="S186" s="118">
        <f>S187</f>
        <v>0</v>
      </c>
      <c r="T186" s="118">
        <f>T187</f>
        <v>0</v>
      </c>
      <c r="U186" s="122">
        <f>R186+S186+T186</f>
        <v>0</v>
      </c>
    </row>
    <row r="187" spans="1:21" ht="15.75" customHeight="1" hidden="1">
      <c r="A187" s="88" t="s">
        <v>182</v>
      </c>
      <c r="B187" s="39">
        <v>540</v>
      </c>
      <c r="C187" s="40" t="s">
        <v>130</v>
      </c>
      <c r="D187" s="41"/>
      <c r="E187" s="122">
        <f t="shared" si="82"/>
        <v>0</v>
      </c>
      <c r="F187" s="118">
        <v>0</v>
      </c>
      <c r="G187" s="118">
        <v>0</v>
      </c>
      <c r="H187" s="118">
        <v>0</v>
      </c>
      <c r="I187" s="122">
        <f>SUM(F187:H187)</f>
        <v>0</v>
      </c>
      <c r="J187" s="134">
        <v>0</v>
      </c>
      <c r="K187" s="134">
        <v>0</v>
      </c>
      <c r="L187" s="134">
        <v>0</v>
      </c>
      <c r="M187" s="122">
        <f>SUM(J187:L187)</f>
        <v>0</v>
      </c>
      <c r="N187" s="134">
        <v>0</v>
      </c>
      <c r="O187" s="134">
        <v>0</v>
      </c>
      <c r="P187" s="134">
        <v>0</v>
      </c>
      <c r="Q187" s="122">
        <f>SUM(N187:P187)</f>
        <v>0</v>
      </c>
      <c r="R187" s="118">
        <v>0</v>
      </c>
      <c r="S187" s="118">
        <f>800-800</f>
        <v>0</v>
      </c>
      <c r="T187" s="118"/>
      <c r="U187" s="122">
        <f>R187+S187+T187</f>
        <v>0</v>
      </c>
    </row>
    <row r="188" spans="1:21" ht="34.5" customHeight="1">
      <c r="A188" s="152" t="s">
        <v>299</v>
      </c>
      <c r="B188" s="39">
        <v>240</v>
      </c>
      <c r="C188" s="40"/>
      <c r="D188" s="41"/>
      <c r="E188" s="158">
        <f t="shared" si="82"/>
        <v>600</v>
      </c>
      <c r="F188" s="161">
        <f>F189+F191</f>
        <v>0</v>
      </c>
      <c r="G188" s="161">
        <f>G189+G191</f>
        <v>0</v>
      </c>
      <c r="H188" s="161">
        <f>H189+H191</f>
        <v>0</v>
      </c>
      <c r="I188" s="158">
        <f>F188+G188+H188</f>
        <v>0</v>
      </c>
      <c r="J188" s="161">
        <f>J189+J191</f>
        <v>0</v>
      </c>
      <c r="K188" s="161">
        <f>K189+K191</f>
        <v>0</v>
      </c>
      <c r="L188" s="161">
        <f>L189+L191</f>
        <v>0</v>
      </c>
      <c r="M188" s="158">
        <f>J188+K188+L188</f>
        <v>0</v>
      </c>
      <c r="N188" s="161">
        <f>N189+N191</f>
        <v>0</v>
      </c>
      <c r="O188" s="161">
        <f>O189+O191</f>
        <v>0</v>
      </c>
      <c r="P188" s="161">
        <f>P189+P191</f>
        <v>0</v>
      </c>
      <c r="Q188" s="158">
        <f>N188+O188+P188</f>
        <v>0</v>
      </c>
      <c r="R188" s="161">
        <f>R189+R191</f>
        <v>600</v>
      </c>
      <c r="S188" s="161">
        <f>S189+S191</f>
        <v>0</v>
      </c>
      <c r="T188" s="161">
        <f>T189+T191</f>
        <v>0</v>
      </c>
      <c r="U188" s="158">
        <f>SUM(R188:T188)</f>
        <v>600</v>
      </c>
    </row>
    <row r="189" spans="1:21" ht="68.25" customHeight="1" hidden="1">
      <c r="A189" s="91" t="s">
        <v>300</v>
      </c>
      <c r="B189" s="153" t="s">
        <v>278</v>
      </c>
      <c r="C189" s="153"/>
      <c r="D189" s="41"/>
      <c r="E189" s="157">
        <f t="shared" si="82"/>
        <v>0</v>
      </c>
      <c r="F189" s="134">
        <f aca="true" t="shared" si="83" ref="F189:H191">F190</f>
        <v>0</v>
      </c>
      <c r="G189" s="134">
        <f t="shared" si="83"/>
        <v>0</v>
      </c>
      <c r="H189" s="134">
        <f t="shared" si="83"/>
        <v>0</v>
      </c>
      <c r="I189" s="157">
        <f>SUM(F189:H189)</f>
        <v>0</v>
      </c>
      <c r="J189" s="134">
        <f aca="true" t="shared" si="84" ref="J189:L191">J190</f>
        <v>0</v>
      </c>
      <c r="K189" s="134">
        <f t="shared" si="84"/>
        <v>0</v>
      </c>
      <c r="L189" s="134">
        <f t="shared" si="84"/>
        <v>0</v>
      </c>
      <c r="M189" s="157">
        <f>SUM(J189:L189)</f>
        <v>0</v>
      </c>
      <c r="N189" s="134">
        <f aca="true" t="shared" si="85" ref="N189:P191">N190</f>
        <v>0</v>
      </c>
      <c r="O189" s="134">
        <f t="shared" si="85"/>
        <v>0</v>
      </c>
      <c r="P189" s="134">
        <f t="shared" si="85"/>
        <v>0</v>
      </c>
      <c r="Q189" s="157">
        <f>SUM(N189:P189)</f>
        <v>0</v>
      </c>
      <c r="R189" s="134">
        <f aca="true" t="shared" si="86" ref="R189:T191">R190</f>
        <v>0</v>
      </c>
      <c r="S189" s="134">
        <f t="shared" si="86"/>
        <v>0</v>
      </c>
      <c r="T189" s="134">
        <f t="shared" si="86"/>
        <v>0</v>
      </c>
      <c r="U189" s="157">
        <f>R189+S189+T189</f>
        <v>0</v>
      </c>
    </row>
    <row r="190" spans="1:21" ht="15.75" customHeight="1" hidden="1">
      <c r="A190" s="92" t="s">
        <v>276</v>
      </c>
      <c r="B190" s="154" t="s">
        <v>278</v>
      </c>
      <c r="C190" s="154" t="s">
        <v>103</v>
      </c>
      <c r="D190" s="41"/>
      <c r="E190" s="157">
        <f t="shared" si="82"/>
        <v>0</v>
      </c>
      <c r="F190" s="134">
        <v>0</v>
      </c>
      <c r="G190" s="134">
        <v>0</v>
      </c>
      <c r="H190" s="134">
        <v>0</v>
      </c>
      <c r="I190" s="157">
        <f>SUM(F190:H190)</f>
        <v>0</v>
      </c>
      <c r="J190" s="134">
        <v>0</v>
      </c>
      <c r="K190" s="134"/>
      <c r="L190" s="134">
        <f>600-600</f>
        <v>0</v>
      </c>
      <c r="M190" s="157">
        <f>SUM(J190:L190)</f>
        <v>0</v>
      </c>
      <c r="N190" s="134"/>
      <c r="O190" s="134"/>
      <c r="P190" s="134">
        <f>600-600</f>
        <v>0</v>
      </c>
      <c r="Q190" s="157">
        <f>SUM(N190:P190)</f>
        <v>0</v>
      </c>
      <c r="R190" s="134">
        <v>0</v>
      </c>
      <c r="S190" s="134">
        <v>0</v>
      </c>
      <c r="T190" s="134">
        <v>0</v>
      </c>
      <c r="U190" s="157">
        <f>R190+S190+T190</f>
        <v>0</v>
      </c>
    </row>
    <row r="191" spans="1:21" ht="75" customHeight="1">
      <c r="A191" s="91" t="s">
        <v>315</v>
      </c>
      <c r="B191" s="153" t="s">
        <v>278</v>
      </c>
      <c r="C191" s="153"/>
      <c r="D191" s="41"/>
      <c r="E191" s="157">
        <f>I191+M191+Q191+U191</f>
        <v>600</v>
      </c>
      <c r="F191" s="134">
        <f t="shared" si="83"/>
        <v>0</v>
      </c>
      <c r="G191" s="134">
        <f t="shared" si="83"/>
        <v>0</v>
      </c>
      <c r="H191" s="134">
        <f t="shared" si="83"/>
        <v>0</v>
      </c>
      <c r="I191" s="157">
        <f>SUM(F191:H191)</f>
        <v>0</v>
      </c>
      <c r="J191" s="134">
        <f t="shared" si="84"/>
        <v>0</v>
      </c>
      <c r="K191" s="134">
        <f t="shared" si="84"/>
        <v>0</v>
      </c>
      <c r="L191" s="134">
        <f t="shared" si="84"/>
        <v>0</v>
      </c>
      <c r="M191" s="157">
        <f>SUM(J191:L191)</f>
        <v>0</v>
      </c>
      <c r="N191" s="134">
        <f t="shared" si="85"/>
        <v>0</v>
      </c>
      <c r="O191" s="134">
        <f t="shared" si="85"/>
        <v>0</v>
      </c>
      <c r="P191" s="134">
        <f t="shared" si="85"/>
        <v>0</v>
      </c>
      <c r="Q191" s="157">
        <f>SUM(N191:P191)</f>
        <v>0</v>
      </c>
      <c r="R191" s="134">
        <f t="shared" si="86"/>
        <v>600</v>
      </c>
      <c r="S191" s="134">
        <f t="shared" si="86"/>
        <v>0</v>
      </c>
      <c r="T191" s="134">
        <f t="shared" si="86"/>
        <v>0</v>
      </c>
      <c r="U191" s="157">
        <f>R191+S191+T191</f>
        <v>600</v>
      </c>
    </row>
    <row r="192" spans="1:21" ht="15.75" customHeight="1">
      <c r="A192" s="92" t="s">
        <v>276</v>
      </c>
      <c r="B192" s="154" t="s">
        <v>278</v>
      </c>
      <c r="C192" s="154" t="s">
        <v>103</v>
      </c>
      <c r="D192" s="41"/>
      <c r="E192" s="157">
        <f>I192+M192+Q192+U192</f>
        <v>600</v>
      </c>
      <c r="F192" s="134">
        <v>0</v>
      </c>
      <c r="G192" s="134">
        <v>0</v>
      </c>
      <c r="H192" s="134">
        <v>0</v>
      </c>
      <c r="I192" s="157">
        <f>SUM(F192:H192)</f>
        <v>0</v>
      </c>
      <c r="J192" s="134">
        <v>0</v>
      </c>
      <c r="K192" s="134"/>
      <c r="L192" s="134">
        <f>600-600</f>
        <v>0</v>
      </c>
      <c r="M192" s="157">
        <f>SUM(J192:L192)</f>
        <v>0</v>
      </c>
      <c r="N192" s="134"/>
      <c r="O192" s="134"/>
      <c r="P192" s="134"/>
      <c r="Q192" s="157">
        <f>SUM(N192:P192)</f>
        <v>0</v>
      </c>
      <c r="R192" s="134">
        <v>600</v>
      </c>
      <c r="S192" s="134">
        <v>0</v>
      </c>
      <c r="T192" s="134">
        <v>0</v>
      </c>
      <c r="U192" s="157">
        <f>R192+S192+T192</f>
        <v>600</v>
      </c>
    </row>
    <row r="193" spans="1:21" ht="42.75" customHeight="1">
      <c r="A193" s="89" t="s">
        <v>274</v>
      </c>
      <c r="B193" s="39">
        <v>240</v>
      </c>
      <c r="C193" s="40"/>
      <c r="D193" s="41"/>
      <c r="E193" s="116">
        <f t="shared" si="82"/>
        <v>2197.4</v>
      </c>
      <c r="F193" s="119">
        <f>F194+F196+F198</f>
        <v>0</v>
      </c>
      <c r="G193" s="119">
        <f>G194+G196+G198</f>
        <v>0</v>
      </c>
      <c r="H193" s="119">
        <f>H194+H196+H198</f>
        <v>0</v>
      </c>
      <c r="I193" s="116">
        <f>F193+G193+H193</f>
        <v>0</v>
      </c>
      <c r="J193" s="119">
        <f>J194+J196+J198</f>
        <v>0</v>
      </c>
      <c r="K193" s="119">
        <f>K194+K196+K198</f>
        <v>0</v>
      </c>
      <c r="L193" s="119">
        <f>L194+L196+L198</f>
        <v>0</v>
      </c>
      <c r="M193" s="116">
        <f>J193+K193+L193</f>
        <v>0</v>
      </c>
      <c r="N193" s="161">
        <f>N194+N196+N198</f>
        <v>199.5</v>
      </c>
      <c r="O193" s="161">
        <f>O194+O196+O198</f>
        <v>1576.973</v>
      </c>
      <c r="P193" s="161">
        <f>P194+P196+P198</f>
        <v>0</v>
      </c>
      <c r="Q193" s="116">
        <f>N193+O193+P193</f>
        <v>1776.473</v>
      </c>
      <c r="R193" s="119">
        <f>R194+R196+R198</f>
        <v>420.92699999999996</v>
      </c>
      <c r="S193" s="119">
        <f>S194+S196+S198</f>
        <v>0</v>
      </c>
      <c r="T193" s="119">
        <f>T194+T196+T198</f>
        <v>0</v>
      </c>
      <c r="U193" s="116">
        <f>SUM(R193:T193)</f>
        <v>420.92699999999996</v>
      </c>
    </row>
    <row r="194" spans="1:21" ht="43.5" customHeight="1">
      <c r="A194" s="99" t="s">
        <v>275</v>
      </c>
      <c r="B194" s="104" t="s">
        <v>278</v>
      </c>
      <c r="C194" s="104"/>
      <c r="D194" s="41"/>
      <c r="E194" s="118">
        <f t="shared" si="82"/>
        <v>497.9</v>
      </c>
      <c r="F194" s="118">
        <f>F195</f>
        <v>0</v>
      </c>
      <c r="G194" s="118">
        <f>G195</f>
        <v>0</v>
      </c>
      <c r="H194" s="118">
        <f>H195</f>
        <v>0</v>
      </c>
      <c r="I194" s="118">
        <f aca="true" t="shared" si="87" ref="I194:I199">SUM(F194:H194)</f>
        <v>0</v>
      </c>
      <c r="J194" s="134">
        <f>J195</f>
        <v>0</v>
      </c>
      <c r="K194" s="134">
        <f>K195</f>
        <v>0</v>
      </c>
      <c r="L194" s="134">
        <f>L195</f>
        <v>0</v>
      </c>
      <c r="M194" s="118">
        <f aca="true" t="shared" si="88" ref="M194:M199">SUM(J194:L194)</f>
        <v>0</v>
      </c>
      <c r="N194" s="134">
        <f>N195</f>
        <v>0</v>
      </c>
      <c r="O194" s="134">
        <f>O195</f>
        <v>492.5</v>
      </c>
      <c r="P194" s="134">
        <f>P195</f>
        <v>0</v>
      </c>
      <c r="Q194" s="118">
        <f aca="true" t="shared" si="89" ref="Q194:Q199">SUM(N194:P194)</f>
        <v>492.5</v>
      </c>
      <c r="R194" s="118">
        <f>R195</f>
        <v>5.4</v>
      </c>
      <c r="S194" s="118">
        <f>S195</f>
        <v>0</v>
      </c>
      <c r="T194" s="118">
        <f>T195</f>
        <v>0</v>
      </c>
      <c r="U194" s="109">
        <f>U195</f>
        <v>5.4</v>
      </c>
    </row>
    <row r="195" spans="1:21" ht="15.75" customHeight="1">
      <c r="A195" s="103" t="s">
        <v>276</v>
      </c>
      <c r="B195" s="105" t="s">
        <v>278</v>
      </c>
      <c r="C195" s="105" t="s">
        <v>103</v>
      </c>
      <c r="D195" s="41"/>
      <c r="E195" s="109">
        <f t="shared" si="82"/>
        <v>497.9</v>
      </c>
      <c r="F195" s="117">
        <v>0</v>
      </c>
      <c r="G195" s="117">
        <v>0</v>
      </c>
      <c r="H195" s="117">
        <v>0</v>
      </c>
      <c r="I195" s="109">
        <f t="shared" si="87"/>
        <v>0</v>
      </c>
      <c r="J195" s="133"/>
      <c r="K195" s="133"/>
      <c r="L195" s="133">
        <f>500-500</f>
        <v>0</v>
      </c>
      <c r="M195" s="109">
        <f t="shared" si="88"/>
        <v>0</v>
      </c>
      <c r="N195" s="133"/>
      <c r="O195" s="133">
        <v>492.5</v>
      </c>
      <c r="P195" s="133"/>
      <c r="Q195" s="109">
        <f t="shared" si="89"/>
        <v>492.5</v>
      </c>
      <c r="R195" s="117">
        <v>5.4</v>
      </c>
      <c r="S195" s="117">
        <v>0</v>
      </c>
      <c r="T195" s="117">
        <v>0</v>
      </c>
      <c r="U195" s="109">
        <f>SUM(R195:T195)</f>
        <v>5.4</v>
      </c>
    </row>
    <row r="196" spans="1:21" ht="48" customHeight="1">
      <c r="A196" s="99" t="s">
        <v>277</v>
      </c>
      <c r="B196" s="104" t="s">
        <v>278</v>
      </c>
      <c r="C196" s="104"/>
      <c r="D196" s="41"/>
      <c r="E196" s="118">
        <f aca="true" t="shared" si="90" ref="E196:E205">I196+M196+Q196+U196</f>
        <v>1500</v>
      </c>
      <c r="F196" s="118">
        <f>F197</f>
        <v>0</v>
      </c>
      <c r="G196" s="118">
        <f>G197</f>
        <v>0</v>
      </c>
      <c r="H196" s="118">
        <f>H197</f>
        <v>0</v>
      </c>
      <c r="I196" s="118">
        <f t="shared" si="87"/>
        <v>0</v>
      </c>
      <c r="J196" s="134">
        <f>J197</f>
        <v>0</v>
      </c>
      <c r="K196" s="134">
        <f>K197</f>
        <v>0</v>
      </c>
      <c r="L196" s="134">
        <f>L197</f>
        <v>0</v>
      </c>
      <c r="M196" s="118">
        <f t="shared" si="88"/>
        <v>0</v>
      </c>
      <c r="N196" s="134">
        <f>N197</f>
        <v>0</v>
      </c>
      <c r="O196" s="134">
        <f>O197</f>
        <v>1084.473</v>
      </c>
      <c r="P196" s="134">
        <f>P197</f>
        <v>0</v>
      </c>
      <c r="Q196" s="118">
        <f t="shared" si="89"/>
        <v>1084.473</v>
      </c>
      <c r="R196" s="118">
        <f>R197</f>
        <v>415.527</v>
      </c>
      <c r="S196" s="118">
        <f>S197</f>
        <v>0</v>
      </c>
      <c r="T196" s="118">
        <f>T197</f>
        <v>0</v>
      </c>
      <c r="U196" s="109">
        <f>U197</f>
        <v>415.527</v>
      </c>
    </row>
    <row r="197" spans="1:21" ht="15.75" customHeight="1">
      <c r="A197" s="103" t="s">
        <v>276</v>
      </c>
      <c r="B197" s="105" t="s">
        <v>278</v>
      </c>
      <c r="C197" s="105" t="s">
        <v>103</v>
      </c>
      <c r="D197" s="41"/>
      <c r="E197" s="109">
        <f t="shared" si="90"/>
        <v>1500</v>
      </c>
      <c r="F197" s="117">
        <v>0</v>
      </c>
      <c r="G197" s="117">
        <v>0</v>
      </c>
      <c r="H197" s="117">
        <v>0</v>
      </c>
      <c r="I197" s="109">
        <f t="shared" si="87"/>
        <v>0</v>
      </c>
      <c r="J197" s="133"/>
      <c r="K197" s="133"/>
      <c r="L197" s="133">
        <f>1500-1500</f>
        <v>0</v>
      </c>
      <c r="M197" s="109">
        <f t="shared" si="88"/>
        <v>0</v>
      </c>
      <c r="N197" s="133"/>
      <c r="O197" s="133">
        <v>1084.473</v>
      </c>
      <c r="P197" s="133"/>
      <c r="Q197" s="109">
        <f t="shared" si="89"/>
        <v>1084.473</v>
      </c>
      <c r="R197" s="117">
        <v>415.527</v>
      </c>
      <c r="S197" s="117">
        <v>0</v>
      </c>
      <c r="T197" s="117">
        <v>0</v>
      </c>
      <c r="U197" s="109">
        <f>SUM(R197:T197)</f>
        <v>415.527</v>
      </c>
    </row>
    <row r="198" spans="1:21" ht="84.75" customHeight="1">
      <c r="A198" s="150" t="s">
        <v>307</v>
      </c>
      <c r="B198" s="105" t="s">
        <v>278</v>
      </c>
      <c r="C198" s="105"/>
      <c r="D198" s="41"/>
      <c r="E198" s="118">
        <f t="shared" si="90"/>
        <v>199.5</v>
      </c>
      <c r="F198" s="118">
        <f>F199</f>
        <v>0</v>
      </c>
      <c r="G198" s="118">
        <f>G199</f>
        <v>0</v>
      </c>
      <c r="H198" s="118">
        <f>H199</f>
        <v>0</v>
      </c>
      <c r="I198" s="118">
        <f t="shared" si="87"/>
        <v>0</v>
      </c>
      <c r="J198" s="134">
        <f>J199</f>
        <v>0</v>
      </c>
      <c r="K198" s="134">
        <f>K199</f>
        <v>0</v>
      </c>
      <c r="L198" s="134">
        <f>L199</f>
        <v>0</v>
      </c>
      <c r="M198" s="118">
        <f t="shared" si="88"/>
        <v>0</v>
      </c>
      <c r="N198" s="134">
        <f>N199</f>
        <v>199.5</v>
      </c>
      <c r="O198" s="134">
        <f>O199</f>
        <v>0</v>
      </c>
      <c r="P198" s="134">
        <f>P199</f>
        <v>0</v>
      </c>
      <c r="Q198" s="118">
        <f t="shared" si="89"/>
        <v>199.5</v>
      </c>
      <c r="R198" s="118">
        <f>R199</f>
        <v>0</v>
      </c>
      <c r="S198" s="118">
        <f>S199</f>
        <v>0</v>
      </c>
      <c r="T198" s="118">
        <f>T199</f>
        <v>0</v>
      </c>
      <c r="U198" s="109">
        <f>U199</f>
        <v>0</v>
      </c>
    </row>
    <row r="199" spans="1:21" ht="15.75" customHeight="1">
      <c r="A199" s="92" t="s">
        <v>276</v>
      </c>
      <c r="B199" s="105" t="s">
        <v>278</v>
      </c>
      <c r="C199" s="105" t="s">
        <v>103</v>
      </c>
      <c r="D199" s="41"/>
      <c r="E199" s="109">
        <f t="shared" si="90"/>
        <v>199.5</v>
      </c>
      <c r="F199" s="117">
        <v>0</v>
      </c>
      <c r="G199" s="117">
        <v>0</v>
      </c>
      <c r="H199" s="117">
        <v>0</v>
      </c>
      <c r="I199" s="109">
        <f t="shared" si="87"/>
        <v>0</v>
      </c>
      <c r="J199" s="133"/>
      <c r="K199" s="133"/>
      <c r="L199" s="133">
        <f>1500-1500</f>
        <v>0</v>
      </c>
      <c r="M199" s="109">
        <f t="shared" si="88"/>
        <v>0</v>
      </c>
      <c r="N199" s="133">
        <v>199.5</v>
      </c>
      <c r="O199" s="133">
        <v>0</v>
      </c>
      <c r="P199" s="133">
        <v>0</v>
      </c>
      <c r="Q199" s="109">
        <f t="shared" si="89"/>
        <v>199.5</v>
      </c>
      <c r="R199" s="117">
        <v>0</v>
      </c>
      <c r="S199" s="117">
        <v>0</v>
      </c>
      <c r="T199" s="117">
        <v>0</v>
      </c>
      <c r="U199" s="109">
        <f>SUM(R199:T199)</f>
        <v>0</v>
      </c>
    </row>
    <row r="200" spans="1:21" ht="77.25" customHeight="1">
      <c r="A200" s="89" t="s">
        <v>279</v>
      </c>
      <c r="B200" s="39"/>
      <c r="C200" s="40"/>
      <c r="D200" s="41"/>
      <c r="E200" s="116">
        <f t="shared" si="90"/>
        <v>3155.298</v>
      </c>
      <c r="F200" s="119">
        <f>F201+F203</f>
        <v>0</v>
      </c>
      <c r="G200" s="119">
        <f>G201+G203</f>
        <v>0</v>
      </c>
      <c r="H200" s="119">
        <f>H201+H203</f>
        <v>1.8</v>
      </c>
      <c r="I200" s="116">
        <f>F200+G200+H200</f>
        <v>1.8</v>
      </c>
      <c r="J200" s="119">
        <f>J201+J203</f>
        <v>0</v>
      </c>
      <c r="K200" s="119">
        <f>K201+K203</f>
        <v>0.648</v>
      </c>
      <c r="L200" s="119">
        <f>L201+L203</f>
        <v>0</v>
      </c>
      <c r="M200" s="116">
        <f>J200+K200+L200</f>
        <v>0.648</v>
      </c>
      <c r="N200" s="161">
        <f>N201+N203</f>
        <v>0</v>
      </c>
      <c r="O200" s="161">
        <f>O201+O203</f>
        <v>0</v>
      </c>
      <c r="P200" s="161">
        <f>P201+P203</f>
        <v>0</v>
      </c>
      <c r="Q200" s="116">
        <f>N200+O200+P200</f>
        <v>0</v>
      </c>
      <c r="R200" s="119">
        <f>R201+R203</f>
        <v>3152.85</v>
      </c>
      <c r="S200" s="119">
        <f>S201+S203</f>
        <v>0</v>
      </c>
      <c r="T200" s="119">
        <f>T201+T203</f>
        <v>0</v>
      </c>
      <c r="U200" s="116">
        <f>SUM(R200:T200)</f>
        <v>3152.85</v>
      </c>
    </row>
    <row r="201" spans="1:21" ht="44.25" customHeight="1">
      <c r="A201" s="99" t="s">
        <v>280</v>
      </c>
      <c r="B201" s="104" t="s">
        <v>115</v>
      </c>
      <c r="C201" s="104"/>
      <c r="D201" s="41"/>
      <c r="E201" s="118">
        <f t="shared" si="90"/>
        <v>2.448</v>
      </c>
      <c r="F201" s="118">
        <f aca="true" t="shared" si="91" ref="F201:H203">F202</f>
        <v>0</v>
      </c>
      <c r="G201" s="118">
        <f t="shared" si="91"/>
        <v>0</v>
      </c>
      <c r="H201" s="118">
        <f t="shared" si="91"/>
        <v>1.8</v>
      </c>
      <c r="I201" s="118">
        <f>SUM(F201:H201)</f>
        <v>1.8</v>
      </c>
      <c r="J201" s="134">
        <f aca="true" t="shared" si="92" ref="J201:L203">J202</f>
        <v>0</v>
      </c>
      <c r="K201" s="134">
        <f t="shared" si="92"/>
        <v>0.648</v>
      </c>
      <c r="L201" s="134">
        <f t="shared" si="92"/>
        <v>0</v>
      </c>
      <c r="M201" s="118">
        <f>SUM(J201:L201)</f>
        <v>0.648</v>
      </c>
      <c r="N201" s="134">
        <f aca="true" t="shared" si="93" ref="N201:P203">N202</f>
        <v>0</v>
      </c>
      <c r="O201" s="134">
        <f t="shared" si="93"/>
        <v>0</v>
      </c>
      <c r="P201" s="134">
        <f t="shared" si="93"/>
        <v>0</v>
      </c>
      <c r="Q201" s="118">
        <f>SUM(N201:P201)</f>
        <v>0</v>
      </c>
      <c r="R201" s="118">
        <f aca="true" t="shared" si="94" ref="R201:T203">R202</f>
        <v>0</v>
      </c>
      <c r="S201" s="118">
        <f t="shared" si="94"/>
        <v>0</v>
      </c>
      <c r="T201" s="118">
        <f t="shared" si="94"/>
        <v>0</v>
      </c>
      <c r="U201" s="109">
        <f>U202</f>
        <v>0</v>
      </c>
    </row>
    <row r="202" spans="1:21" ht="15.75" customHeight="1">
      <c r="A202" s="106" t="s">
        <v>281</v>
      </c>
      <c r="B202" s="105" t="s">
        <v>282</v>
      </c>
      <c r="C202" s="105" t="s">
        <v>260</v>
      </c>
      <c r="D202" s="41"/>
      <c r="E202" s="109">
        <f t="shared" si="90"/>
        <v>2.448</v>
      </c>
      <c r="F202" s="117">
        <v>0</v>
      </c>
      <c r="G202" s="117">
        <v>0</v>
      </c>
      <c r="H202" s="117">
        <v>1.8</v>
      </c>
      <c r="I202" s="109">
        <f>SUM(F202:H202)</f>
        <v>1.8</v>
      </c>
      <c r="J202" s="133">
        <v>0</v>
      </c>
      <c r="K202" s="133">
        <v>0.648</v>
      </c>
      <c r="L202" s="133">
        <v>0</v>
      </c>
      <c r="M202" s="109">
        <f>SUM(J202:L202)</f>
        <v>0.648</v>
      </c>
      <c r="N202" s="133">
        <v>0</v>
      </c>
      <c r="O202" s="133">
        <v>0</v>
      </c>
      <c r="P202" s="133">
        <v>0</v>
      </c>
      <c r="Q202" s="109">
        <f>SUM(N202:P202)</f>
        <v>0</v>
      </c>
      <c r="R202" s="117">
        <v>0</v>
      </c>
      <c r="S202" s="117">
        <v>0</v>
      </c>
      <c r="T202" s="117">
        <v>0</v>
      </c>
      <c r="U202" s="109">
        <f>SUM(R202:T202)</f>
        <v>0</v>
      </c>
    </row>
    <row r="203" spans="1:21" ht="123.75" customHeight="1">
      <c r="A203" s="99" t="s">
        <v>310</v>
      </c>
      <c r="B203" s="105"/>
      <c r="C203" s="105"/>
      <c r="D203" s="41"/>
      <c r="E203" s="118">
        <f t="shared" si="90"/>
        <v>3152.85</v>
      </c>
      <c r="F203" s="118">
        <f t="shared" si="91"/>
        <v>0</v>
      </c>
      <c r="G203" s="118">
        <f t="shared" si="91"/>
        <v>0</v>
      </c>
      <c r="H203" s="118">
        <f t="shared" si="91"/>
        <v>0</v>
      </c>
      <c r="I203" s="118">
        <f>SUM(F203:H203)</f>
        <v>0</v>
      </c>
      <c r="J203" s="134">
        <f t="shared" si="92"/>
        <v>0</v>
      </c>
      <c r="K203" s="134">
        <f t="shared" si="92"/>
        <v>0</v>
      </c>
      <c r="L203" s="134">
        <f t="shared" si="92"/>
        <v>0</v>
      </c>
      <c r="M203" s="118">
        <f>SUM(J203:L203)</f>
        <v>0</v>
      </c>
      <c r="N203" s="134">
        <f t="shared" si="93"/>
        <v>0</v>
      </c>
      <c r="O203" s="134">
        <f t="shared" si="93"/>
        <v>0</v>
      </c>
      <c r="P203" s="134">
        <f t="shared" si="93"/>
        <v>0</v>
      </c>
      <c r="Q203" s="118">
        <f>SUM(N203:P203)</f>
        <v>0</v>
      </c>
      <c r="R203" s="118">
        <f t="shared" si="94"/>
        <v>3152.85</v>
      </c>
      <c r="S203" s="118">
        <f t="shared" si="94"/>
        <v>0</v>
      </c>
      <c r="T203" s="118">
        <f t="shared" si="94"/>
        <v>0</v>
      </c>
      <c r="U203" s="109">
        <f>U204</f>
        <v>3152.85</v>
      </c>
    </row>
    <row r="204" spans="1:21" ht="15.75" customHeight="1">
      <c r="A204" s="156" t="s">
        <v>147</v>
      </c>
      <c r="B204" s="105"/>
      <c r="C204" s="105"/>
      <c r="D204" s="41"/>
      <c r="E204" s="109">
        <f t="shared" si="90"/>
        <v>3152.85</v>
      </c>
      <c r="F204" s="117">
        <v>0</v>
      </c>
      <c r="G204" s="117">
        <v>0</v>
      </c>
      <c r="H204" s="117"/>
      <c r="I204" s="109">
        <f>SUM(F204:H204)</f>
        <v>0</v>
      </c>
      <c r="J204" s="133">
        <v>0</v>
      </c>
      <c r="K204" s="133"/>
      <c r="L204" s="133">
        <v>0</v>
      </c>
      <c r="M204" s="109">
        <f>SUM(J204:L204)</f>
        <v>0</v>
      </c>
      <c r="N204" s="133"/>
      <c r="O204" s="133"/>
      <c r="P204" s="133"/>
      <c r="Q204" s="109">
        <f>SUM(N204:P204)</f>
        <v>0</v>
      </c>
      <c r="R204" s="117">
        <v>3152.85</v>
      </c>
      <c r="S204" s="117">
        <v>0</v>
      </c>
      <c r="T204" s="117">
        <v>0</v>
      </c>
      <c r="U204" s="109">
        <f>SUM(R204:T204)</f>
        <v>3152.85</v>
      </c>
    </row>
    <row r="205" spans="1:21" ht="19.5" customHeight="1">
      <c r="A205" s="89" t="s">
        <v>185</v>
      </c>
      <c r="B205" s="42"/>
      <c r="C205" s="43"/>
      <c r="D205" s="44"/>
      <c r="E205" s="116">
        <f t="shared" si="90"/>
        <v>10858.91099</v>
      </c>
      <c r="F205" s="119">
        <f>F206+F211+F216+F221+F208+F207+F229</f>
        <v>168.82529</v>
      </c>
      <c r="G205" s="119">
        <f>G206+G211+G216+G221+G208+G207+G229</f>
        <v>821.72878</v>
      </c>
      <c r="H205" s="119">
        <f>H206+H211+H216+H221+H208+H207+H229</f>
        <v>356.83097999999995</v>
      </c>
      <c r="I205" s="116">
        <f>SUM(F205:H205)</f>
        <v>1347.3850499999999</v>
      </c>
      <c r="J205" s="161">
        <f>J206+J211+J216+J221+J208+J207+J229</f>
        <v>107.33448999999999</v>
      </c>
      <c r="K205" s="161">
        <f>K206+K211+K216+K221+K208+K207+K229</f>
        <v>538.5387499999999</v>
      </c>
      <c r="L205" s="161">
        <f>L206+L211+L216+L221+L208+L207+L229</f>
        <v>347.86709</v>
      </c>
      <c r="M205" s="116">
        <f>SUM(J205:L205)</f>
        <v>993.7403299999999</v>
      </c>
      <c r="N205" s="161">
        <f>N206+N211+N216+N221+N208+N207+N229</f>
        <v>240.36631</v>
      </c>
      <c r="O205" s="161">
        <f>O206+O211+O216+O221+O208+O207+O229</f>
        <v>239.50332</v>
      </c>
      <c r="P205" s="161">
        <f>P206+P211+P216+P221+P208+P207+P229</f>
        <v>410.68350999999996</v>
      </c>
      <c r="Q205" s="116">
        <f>SUM(N205:P205)</f>
        <v>890.55314</v>
      </c>
      <c r="R205" s="119">
        <f>R206+R211+R216+R221+R208+R207+R229</f>
        <v>6202.242469999999</v>
      </c>
      <c r="S205" s="119">
        <f>S206+S211+S216+S221+S208+S207+S229</f>
        <v>1069.9299999999998</v>
      </c>
      <c r="T205" s="119">
        <f>T206+T211+T216+T221+T208+T207+T229</f>
        <v>355.06</v>
      </c>
      <c r="U205" s="116">
        <f>SUM(R205:T205)</f>
        <v>7627.23247</v>
      </c>
    </row>
    <row r="206" spans="1:21" ht="18" customHeight="1">
      <c r="A206" s="89" t="s">
        <v>136</v>
      </c>
      <c r="B206" s="42">
        <v>244</v>
      </c>
      <c r="C206" s="40" t="s">
        <v>101</v>
      </c>
      <c r="D206" s="41"/>
      <c r="E206" s="109">
        <f aca="true" t="shared" si="95" ref="E206:E212">I206+M206+Q206+U206</f>
        <v>3532.0252899999996</v>
      </c>
      <c r="F206" s="117">
        <v>168.82529</v>
      </c>
      <c r="G206" s="117">
        <v>821.72878</v>
      </c>
      <c r="H206" s="117">
        <v>312.43098</v>
      </c>
      <c r="I206" s="109">
        <f aca="true" t="shared" si="96" ref="I206:I212">SUM(F206:H206)</f>
        <v>1302.98505</v>
      </c>
      <c r="J206" s="133">
        <v>62.93449</v>
      </c>
      <c r="K206" s="133">
        <v>316.39675</v>
      </c>
      <c r="L206" s="133">
        <f>426.67-122.98629+168.82529-263.46491</f>
        <v>209.04409000000004</v>
      </c>
      <c r="M206" s="109">
        <f aca="true" t="shared" si="97" ref="M206:M212">SUM(J206:L206)</f>
        <v>588.3753300000001</v>
      </c>
      <c r="N206" s="133">
        <v>118.22331</v>
      </c>
      <c r="O206" s="133">
        <v>117.36032</v>
      </c>
      <c r="P206" s="133">
        <v>288.54051</v>
      </c>
      <c r="Q206" s="109">
        <f>N206+O206+P206</f>
        <v>524.12414</v>
      </c>
      <c r="R206" s="117">
        <f>179.47+217.7016-276.36083</f>
        <v>120.81076999999999</v>
      </c>
      <c r="S206" s="117">
        <v>640.67</v>
      </c>
      <c r="T206" s="117">
        <v>355.06</v>
      </c>
      <c r="U206" s="109">
        <f aca="true" t="shared" si="98" ref="U206:U215">SUM(R206:T206)</f>
        <v>1116.5407699999998</v>
      </c>
    </row>
    <row r="207" spans="1:21" ht="18" customHeight="1" hidden="1">
      <c r="A207" s="89" t="s">
        <v>266</v>
      </c>
      <c r="B207" s="42">
        <v>853</v>
      </c>
      <c r="C207" s="40" t="s">
        <v>107</v>
      </c>
      <c r="D207" s="41"/>
      <c r="E207" s="109">
        <f t="shared" si="95"/>
        <v>0</v>
      </c>
      <c r="F207" s="117"/>
      <c r="G207" s="117"/>
      <c r="H207" s="117"/>
      <c r="I207" s="109">
        <f t="shared" si="96"/>
        <v>0</v>
      </c>
      <c r="J207" s="133"/>
      <c r="K207" s="133"/>
      <c r="L207" s="133"/>
      <c r="M207" s="109">
        <f t="shared" si="97"/>
        <v>0</v>
      </c>
      <c r="N207" s="133"/>
      <c r="O207" s="133"/>
      <c r="P207" s="133"/>
      <c r="Q207" s="109">
        <f>N207+O207+P207</f>
        <v>0</v>
      </c>
      <c r="R207" s="117"/>
      <c r="S207" s="117"/>
      <c r="T207" s="117"/>
      <c r="U207" s="109">
        <f t="shared" si="98"/>
        <v>0</v>
      </c>
    </row>
    <row r="208" spans="1:21" ht="33.75" customHeight="1" hidden="1">
      <c r="A208" s="89" t="s">
        <v>225</v>
      </c>
      <c r="B208" s="42">
        <v>200</v>
      </c>
      <c r="C208" s="40"/>
      <c r="D208" s="41"/>
      <c r="E208" s="109">
        <f t="shared" si="95"/>
        <v>0</v>
      </c>
      <c r="F208" s="117">
        <f aca="true" t="shared" si="99" ref="F208:H209">F209</f>
        <v>0</v>
      </c>
      <c r="G208" s="117">
        <f t="shared" si="99"/>
        <v>0</v>
      </c>
      <c r="H208" s="117">
        <f t="shared" si="99"/>
        <v>0</v>
      </c>
      <c r="I208" s="109">
        <f t="shared" si="96"/>
        <v>0</v>
      </c>
      <c r="J208" s="133">
        <f aca="true" t="shared" si="100" ref="J208:L209">J209</f>
        <v>0</v>
      </c>
      <c r="K208" s="133">
        <f t="shared" si="100"/>
        <v>0</v>
      </c>
      <c r="L208" s="133">
        <f t="shared" si="100"/>
        <v>0</v>
      </c>
      <c r="M208" s="109">
        <f t="shared" si="97"/>
        <v>0</v>
      </c>
      <c r="N208" s="133">
        <f aca="true" t="shared" si="101" ref="N208:P209">N209</f>
        <v>0</v>
      </c>
      <c r="O208" s="133">
        <f t="shared" si="101"/>
        <v>0</v>
      </c>
      <c r="P208" s="133">
        <f t="shared" si="101"/>
        <v>0</v>
      </c>
      <c r="Q208" s="109">
        <f aca="true" t="shared" si="102" ref="Q208:Q221">SUM(N208:P208)</f>
        <v>0</v>
      </c>
      <c r="R208" s="117">
        <f aca="true" t="shared" si="103" ref="R208:T209">R209</f>
        <v>0</v>
      </c>
      <c r="S208" s="117">
        <f t="shared" si="103"/>
        <v>0</v>
      </c>
      <c r="T208" s="117">
        <f t="shared" si="103"/>
        <v>0</v>
      </c>
      <c r="U208" s="109">
        <f>R208+S208+T208</f>
        <v>0</v>
      </c>
    </row>
    <row r="209" spans="1:21" ht="33.75" customHeight="1" hidden="1">
      <c r="A209" s="90" t="s">
        <v>226</v>
      </c>
      <c r="B209" s="45">
        <v>240</v>
      </c>
      <c r="C209" s="40"/>
      <c r="D209" s="41"/>
      <c r="E209" s="109">
        <f t="shared" si="95"/>
        <v>0</v>
      </c>
      <c r="F209" s="117">
        <f t="shared" si="99"/>
        <v>0</v>
      </c>
      <c r="G209" s="117">
        <f t="shared" si="99"/>
        <v>0</v>
      </c>
      <c r="H209" s="117">
        <f t="shared" si="99"/>
        <v>0</v>
      </c>
      <c r="I209" s="109">
        <f t="shared" si="96"/>
        <v>0</v>
      </c>
      <c r="J209" s="133">
        <f t="shared" si="100"/>
        <v>0</v>
      </c>
      <c r="K209" s="133">
        <f t="shared" si="100"/>
        <v>0</v>
      </c>
      <c r="L209" s="133">
        <f t="shared" si="100"/>
        <v>0</v>
      </c>
      <c r="M209" s="109">
        <f t="shared" si="97"/>
        <v>0</v>
      </c>
      <c r="N209" s="133">
        <f t="shared" si="101"/>
        <v>0</v>
      </c>
      <c r="O209" s="133">
        <f t="shared" si="101"/>
        <v>0</v>
      </c>
      <c r="P209" s="133">
        <f t="shared" si="101"/>
        <v>0</v>
      </c>
      <c r="Q209" s="109">
        <f t="shared" si="102"/>
        <v>0</v>
      </c>
      <c r="R209" s="117">
        <f t="shared" si="103"/>
        <v>0</v>
      </c>
      <c r="S209" s="117">
        <f t="shared" si="103"/>
        <v>0</v>
      </c>
      <c r="T209" s="117">
        <f t="shared" si="103"/>
        <v>0</v>
      </c>
      <c r="U209" s="109">
        <f>SUM(R209:T209)</f>
        <v>0</v>
      </c>
    </row>
    <row r="210" spans="1:21" ht="15" customHeight="1" hidden="1">
      <c r="A210" s="88" t="s">
        <v>224</v>
      </c>
      <c r="B210" s="39">
        <v>244</v>
      </c>
      <c r="C210" s="40" t="s">
        <v>103</v>
      </c>
      <c r="D210" s="41"/>
      <c r="E210" s="117">
        <f t="shared" si="95"/>
        <v>0</v>
      </c>
      <c r="F210" s="117"/>
      <c r="G210" s="117"/>
      <c r="H210" s="117"/>
      <c r="I210" s="117">
        <f t="shared" si="96"/>
        <v>0</v>
      </c>
      <c r="J210" s="133"/>
      <c r="K210" s="133"/>
      <c r="L210" s="133"/>
      <c r="M210" s="117">
        <f t="shared" si="97"/>
        <v>0</v>
      </c>
      <c r="N210" s="133"/>
      <c r="O210" s="133"/>
      <c r="P210" s="133"/>
      <c r="Q210" s="117">
        <f t="shared" si="102"/>
        <v>0</v>
      </c>
      <c r="R210" s="117"/>
      <c r="S210" s="117"/>
      <c r="T210" s="117"/>
      <c r="U210" s="117">
        <f>SUM(R210:T210)</f>
        <v>0</v>
      </c>
    </row>
    <row r="211" spans="1:21" ht="49.5" customHeight="1">
      <c r="A211" s="89" t="s">
        <v>187</v>
      </c>
      <c r="B211" s="42">
        <v>200</v>
      </c>
      <c r="C211" s="40"/>
      <c r="D211" s="41"/>
      <c r="E211" s="109">
        <f t="shared" si="95"/>
        <v>1179</v>
      </c>
      <c r="F211" s="117">
        <f>F212+F214</f>
        <v>0</v>
      </c>
      <c r="G211" s="117">
        <f>G212+G214</f>
        <v>0</v>
      </c>
      <c r="H211" s="117">
        <f>H212+H214</f>
        <v>44.400000000000006</v>
      </c>
      <c r="I211" s="109">
        <f t="shared" si="96"/>
        <v>44.400000000000006</v>
      </c>
      <c r="J211" s="133">
        <f>J212+J214</f>
        <v>44.4</v>
      </c>
      <c r="K211" s="133">
        <f>K212+K214</f>
        <v>122.142</v>
      </c>
      <c r="L211" s="133">
        <f>L212+L214</f>
        <v>122.143</v>
      </c>
      <c r="M211" s="109">
        <f t="shared" si="97"/>
        <v>288.685</v>
      </c>
      <c r="N211" s="133">
        <f>N212+N214</f>
        <v>122.143</v>
      </c>
      <c r="O211" s="133">
        <f>O212+O214</f>
        <v>122.143</v>
      </c>
      <c r="P211" s="133">
        <f>P212+P214</f>
        <v>122.143</v>
      </c>
      <c r="Q211" s="109">
        <f t="shared" si="102"/>
        <v>366.429</v>
      </c>
      <c r="R211" s="117">
        <f>R212+R214</f>
        <v>50.22600000000003</v>
      </c>
      <c r="S211" s="117">
        <f>S212+S214</f>
        <v>429.26</v>
      </c>
      <c r="T211" s="117">
        <f>T212+T214</f>
        <v>0</v>
      </c>
      <c r="U211" s="109">
        <f t="shared" si="98"/>
        <v>479.486</v>
      </c>
    </row>
    <row r="212" spans="1:21" ht="81" customHeight="1">
      <c r="A212" s="90" t="s">
        <v>186</v>
      </c>
      <c r="B212" s="45">
        <v>240</v>
      </c>
      <c r="C212" s="40"/>
      <c r="D212" s="41"/>
      <c r="E212" s="109">
        <f t="shared" si="95"/>
        <v>1179</v>
      </c>
      <c r="F212" s="117">
        <f>F213</f>
        <v>0</v>
      </c>
      <c r="G212" s="117">
        <f>G213</f>
        <v>0</v>
      </c>
      <c r="H212" s="117">
        <f>H213</f>
        <v>44.400000000000006</v>
      </c>
      <c r="I212" s="109">
        <f t="shared" si="96"/>
        <v>44.400000000000006</v>
      </c>
      <c r="J212" s="133">
        <f>J213</f>
        <v>44.4</v>
      </c>
      <c r="K212" s="133">
        <f>K213</f>
        <v>122.142</v>
      </c>
      <c r="L212" s="133">
        <f>L213</f>
        <v>122.143</v>
      </c>
      <c r="M212" s="109">
        <f t="shared" si="97"/>
        <v>288.685</v>
      </c>
      <c r="N212" s="133">
        <f>N213</f>
        <v>122.143</v>
      </c>
      <c r="O212" s="133">
        <f>O213</f>
        <v>122.143</v>
      </c>
      <c r="P212" s="133">
        <f>P213</f>
        <v>122.143</v>
      </c>
      <c r="Q212" s="109">
        <f t="shared" si="102"/>
        <v>366.429</v>
      </c>
      <c r="R212" s="117">
        <f>R213</f>
        <v>50.22600000000003</v>
      </c>
      <c r="S212" s="117">
        <f>S213</f>
        <v>429.26</v>
      </c>
      <c r="T212" s="117">
        <f>T213</f>
        <v>0</v>
      </c>
      <c r="U212" s="109">
        <f t="shared" si="98"/>
        <v>479.486</v>
      </c>
    </row>
    <row r="213" spans="1:21" ht="12.75">
      <c r="A213" s="88" t="s">
        <v>178</v>
      </c>
      <c r="B213" s="39">
        <v>244</v>
      </c>
      <c r="C213" s="40" t="s">
        <v>103</v>
      </c>
      <c r="D213" s="41"/>
      <c r="E213" s="117">
        <f aca="true" t="shared" si="104" ref="E213:E245">I213+M213+Q213+U213</f>
        <v>1179</v>
      </c>
      <c r="F213" s="117">
        <v>0</v>
      </c>
      <c r="G213" s="117">
        <v>0</v>
      </c>
      <c r="H213" s="117">
        <f>200-155.6</f>
        <v>44.400000000000006</v>
      </c>
      <c r="I213" s="117">
        <f aca="true" t="shared" si="105" ref="I213:I221">SUM(F213:H213)</f>
        <v>44.400000000000006</v>
      </c>
      <c r="J213" s="133">
        <v>44.4</v>
      </c>
      <c r="K213" s="133">
        <v>122.142</v>
      </c>
      <c r="L213" s="133">
        <f>98.34+185.718-161.915</f>
        <v>122.143</v>
      </c>
      <c r="M213" s="117">
        <f aca="true" t="shared" si="106" ref="M213:M221">SUM(J213:L213)</f>
        <v>288.685</v>
      </c>
      <c r="N213" s="133">
        <v>122.143</v>
      </c>
      <c r="O213" s="133">
        <f>82.371+39.772</f>
        <v>122.143</v>
      </c>
      <c r="P213" s="133">
        <v>122.143</v>
      </c>
      <c r="Q213" s="117">
        <f t="shared" si="102"/>
        <v>366.429</v>
      </c>
      <c r="R213" s="117">
        <f>254.74+40-0.228-82.371-39.772-122.143</f>
        <v>50.22600000000003</v>
      </c>
      <c r="S213" s="117">
        <v>429.26</v>
      </c>
      <c r="T213" s="117">
        <v>0</v>
      </c>
      <c r="U213" s="117">
        <f t="shared" si="98"/>
        <v>479.486</v>
      </c>
    </row>
    <row r="214" spans="1:21" ht="30.75" hidden="1">
      <c r="A214" s="90" t="s">
        <v>188</v>
      </c>
      <c r="B214" s="39">
        <v>240</v>
      </c>
      <c r="C214" s="40"/>
      <c r="D214" s="41"/>
      <c r="E214" s="109">
        <f t="shared" si="104"/>
        <v>0</v>
      </c>
      <c r="F214" s="117">
        <f>F215</f>
        <v>0</v>
      </c>
      <c r="G214" s="117">
        <f>G215</f>
        <v>0</v>
      </c>
      <c r="H214" s="117">
        <f>H215</f>
        <v>0</v>
      </c>
      <c r="I214" s="109">
        <f t="shared" si="105"/>
        <v>0</v>
      </c>
      <c r="J214" s="133">
        <f>J215</f>
        <v>0</v>
      </c>
      <c r="K214" s="133">
        <f>K215</f>
        <v>0</v>
      </c>
      <c r="L214" s="133">
        <f>L215</f>
        <v>0</v>
      </c>
      <c r="M214" s="109">
        <f t="shared" si="106"/>
        <v>0</v>
      </c>
      <c r="N214" s="133">
        <f>N215</f>
        <v>0</v>
      </c>
      <c r="O214" s="133">
        <f>O215</f>
        <v>0</v>
      </c>
      <c r="P214" s="133">
        <f>P215</f>
        <v>0</v>
      </c>
      <c r="Q214" s="109">
        <f t="shared" si="102"/>
        <v>0</v>
      </c>
      <c r="R214" s="117">
        <f>R215</f>
        <v>0</v>
      </c>
      <c r="S214" s="117">
        <f>S215</f>
        <v>0</v>
      </c>
      <c r="T214" s="117">
        <f>T215</f>
        <v>0</v>
      </c>
      <c r="U214" s="109">
        <f t="shared" si="98"/>
        <v>0</v>
      </c>
    </row>
    <row r="215" spans="1:21" ht="12.75" hidden="1">
      <c r="A215" s="88" t="s">
        <v>178</v>
      </c>
      <c r="B215" s="39">
        <v>244</v>
      </c>
      <c r="C215" s="40" t="s">
        <v>103</v>
      </c>
      <c r="D215" s="41"/>
      <c r="E215" s="117">
        <f t="shared" si="104"/>
        <v>0</v>
      </c>
      <c r="F215" s="117"/>
      <c r="G215" s="117"/>
      <c r="H215" s="117"/>
      <c r="I215" s="117">
        <f t="shared" si="105"/>
        <v>0</v>
      </c>
      <c r="J215" s="133"/>
      <c r="K215" s="133"/>
      <c r="L215" s="133"/>
      <c r="M215" s="117">
        <f t="shared" si="106"/>
        <v>0</v>
      </c>
      <c r="N215" s="133"/>
      <c r="O215" s="133"/>
      <c r="P215" s="133"/>
      <c r="Q215" s="117">
        <f t="shared" si="102"/>
        <v>0</v>
      </c>
      <c r="R215" s="117"/>
      <c r="S215" s="117"/>
      <c r="T215" s="117"/>
      <c r="U215" s="117">
        <f t="shared" si="98"/>
        <v>0</v>
      </c>
    </row>
    <row r="216" spans="1:21" ht="35.25" customHeight="1">
      <c r="A216" s="89" t="s">
        <v>189</v>
      </c>
      <c r="B216" s="42">
        <v>200</v>
      </c>
      <c r="C216" s="40"/>
      <c r="D216" s="41"/>
      <c r="E216" s="109">
        <f t="shared" si="104"/>
        <v>500</v>
      </c>
      <c r="F216" s="117">
        <f>F217+F219</f>
        <v>0</v>
      </c>
      <c r="G216" s="117">
        <f>G217+G219</f>
        <v>0</v>
      </c>
      <c r="H216" s="117">
        <f>H217+H219</f>
        <v>0</v>
      </c>
      <c r="I216" s="109">
        <f t="shared" si="105"/>
        <v>0</v>
      </c>
      <c r="J216" s="133">
        <f>J217+J219</f>
        <v>0</v>
      </c>
      <c r="K216" s="133">
        <f>K217+K219</f>
        <v>100</v>
      </c>
      <c r="L216" s="133">
        <f>L217+L219</f>
        <v>0</v>
      </c>
      <c r="M216" s="109">
        <f t="shared" si="106"/>
        <v>100</v>
      </c>
      <c r="N216" s="133">
        <f>N217+N219</f>
        <v>0</v>
      </c>
      <c r="O216" s="133">
        <f>O217+O219</f>
        <v>0</v>
      </c>
      <c r="P216" s="133">
        <f>P217+P219</f>
        <v>0</v>
      </c>
      <c r="Q216" s="109">
        <f t="shared" si="102"/>
        <v>0</v>
      </c>
      <c r="R216" s="117">
        <f>R217+R219</f>
        <v>400</v>
      </c>
      <c r="S216" s="117">
        <f>S217+S219</f>
        <v>0</v>
      </c>
      <c r="T216" s="117">
        <f>T217+T219</f>
        <v>0</v>
      </c>
      <c r="U216" s="109">
        <f>R216+S216+T216</f>
        <v>400</v>
      </c>
    </row>
    <row r="217" spans="1:21" ht="21">
      <c r="A217" s="90" t="s">
        <v>191</v>
      </c>
      <c r="B217" s="39">
        <v>240</v>
      </c>
      <c r="C217" s="40"/>
      <c r="D217" s="41"/>
      <c r="E217" s="109">
        <f t="shared" si="104"/>
        <v>500</v>
      </c>
      <c r="F217" s="117">
        <f>F218</f>
        <v>0</v>
      </c>
      <c r="G217" s="117">
        <f>G218</f>
        <v>0</v>
      </c>
      <c r="H217" s="117">
        <f>H218</f>
        <v>0</v>
      </c>
      <c r="I217" s="109">
        <f t="shared" si="105"/>
        <v>0</v>
      </c>
      <c r="J217" s="133">
        <f>J218</f>
        <v>0</v>
      </c>
      <c r="K217" s="133">
        <f>K218</f>
        <v>100</v>
      </c>
      <c r="L217" s="133">
        <f>L218</f>
        <v>0</v>
      </c>
      <c r="M217" s="109">
        <f t="shared" si="106"/>
        <v>100</v>
      </c>
      <c r="N217" s="133">
        <f>N218</f>
        <v>0</v>
      </c>
      <c r="O217" s="133">
        <f>O218</f>
        <v>0</v>
      </c>
      <c r="P217" s="133">
        <f>P218</f>
        <v>0</v>
      </c>
      <c r="Q217" s="109">
        <f t="shared" si="102"/>
        <v>0</v>
      </c>
      <c r="R217" s="117">
        <f>R218</f>
        <v>400</v>
      </c>
      <c r="S217" s="117">
        <f>S218</f>
        <v>0</v>
      </c>
      <c r="T217" s="117">
        <f>T218</f>
        <v>0</v>
      </c>
      <c r="U217" s="109">
        <f>SUM(R217:T217)</f>
        <v>400</v>
      </c>
    </row>
    <row r="218" spans="1:21" ht="12.75">
      <c r="A218" s="88" t="s">
        <v>178</v>
      </c>
      <c r="B218" s="39">
        <v>244</v>
      </c>
      <c r="C218" s="40" t="s">
        <v>103</v>
      </c>
      <c r="D218" s="41"/>
      <c r="E218" s="117">
        <f t="shared" si="104"/>
        <v>500</v>
      </c>
      <c r="F218" s="117">
        <v>0</v>
      </c>
      <c r="G218" s="117">
        <v>0</v>
      </c>
      <c r="H218" s="117">
        <v>0</v>
      </c>
      <c r="I218" s="117">
        <f t="shared" si="105"/>
        <v>0</v>
      </c>
      <c r="J218" s="133">
        <v>0</v>
      </c>
      <c r="K218" s="133">
        <v>100</v>
      </c>
      <c r="L218" s="133">
        <v>0</v>
      </c>
      <c r="M218" s="117">
        <f t="shared" si="106"/>
        <v>100</v>
      </c>
      <c r="N218" s="133">
        <v>0</v>
      </c>
      <c r="O218" s="133"/>
      <c r="P218" s="133"/>
      <c r="Q218" s="117">
        <f t="shared" si="102"/>
        <v>0</v>
      </c>
      <c r="R218" s="117">
        <v>400</v>
      </c>
      <c r="S218" s="117">
        <v>0</v>
      </c>
      <c r="T218" s="117">
        <v>0</v>
      </c>
      <c r="U218" s="117">
        <f>SUM(R218:T218)</f>
        <v>400</v>
      </c>
    </row>
    <row r="219" spans="1:21" ht="33.75" customHeight="1" hidden="1">
      <c r="A219" s="90" t="s">
        <v>227</v>
      </c>
      <c r="B219" s="39">
        <v>240</v>
      </c>
      <c r="C219" s="40"/>
      <c r="D219" s="41"/>
      <c r="E219" s="109">
        <f t="shared" si="104"/>
        <v>0</v>
      </c>
      <c r="F219" s="117">
        <f>F220</f>
        <v>0</v>
      </c>
      <c r="G219" s="117">
        <f>G220</f>
        <v>0</v>
      </c>
      <c r="H219" s="117">
        <f>H220</f>
        <v>0</v>
      </c>
      <c r="I219" s="109">
        <f t="shared" si="105"/>
        <v>0</v>
      </c>
      <c r="J219" s="133">
        <f>J220</f>
        <v>0</v>
      </c>
      <c r="K219" s="133">
        <f>K220</f>
        <v>0</v>
      </c>
      <c r="L219" s="133">
        <f>L220</f>
        <v>0</v>
      </c>
      <c r="M219" s="109">
        <f t="shared" si="106"/>
        <v>0</v>
      </c>
      <c r="N219" s="133">
        <f>N220</f>
        <v>0</v>
      </c>
      <c r="O219" s="133">
        <f>O220</f>
        <v>0</v>
      </c>
      <c r="P219" s="133">
        <f>P220</f>
        <v>0</v>
      </c>
      <c r="Q219" s="109">
        <f t="shared" si="102"/>
        <v>0</v>
      </c>
      <c r="R219" s="117">
        <f>R220</f>
        <v>0</v>
      </c>
      <c r="S219" s="117">
        <f>S220</f>
        <v>0</v>
      </c>
      <c r="T219" s="117">
        <f>T220</f>
        <v>0</v>
      </c>
      <c r="U219" s="109">
        <f>SUM(R219:T219)</f>
        <v>0</v>
      </c>
    </row>
    <row r="220" spans="1:21" ht="12.75" hidden="1">
      <c r="A220" s="88" t="s">
        <v>178</v>
      </c>
      <c r="B220" s="39">
        <v>244</v>
      </c>
      <c r="C220" s="40" t="s">
        <v>103</v>
      </c>
      <c r="D220" s="41"/>
      <c r="E220" s="117">
        <f t="shared" si="104"/>
        <v>0</v>
      </c>
      <c r="F220" s="117"/>
      <c r="G220" s="117"/>
      <c r="H220" s="117"/>
      <c r="I220" s="117">
        <f t="shared" si="105"/>
        <v>0</v>
      </c>
      <c r="J220" s="133"/>
      <c r="K220" s="133"/>
      <c r="L220" s="133"/>
      <c r="M220" s="117">
        <f t="shared" si="106"/>
        <v>0</v>
      </c>
      <c r="N220" s="133"/>
      <c r="O220" s="133"/>
      <c r="P220" s="133"/>
      <c r="Q220" s="117">
        <f t="shared" si="102"/>
        <v>0</v>
      </c>
      <c r="R220" s="117"/>
      <c r="S220" s="117"/>
      <c r="T220" s="117"/>
      <c r="U220" s="117">
        <f>SUM(R220:T220)</f>
        <v>0</v>
      </c>
    </row>
    <row r="221" spans="1:21" ht="33" customHeight="1">
      <c r="A221" s="89" t="s">
        <v>283</v>
      </c>
      <c r="B221" s="42">
        <v>200</v>
      </c>
      <c r="C221" s="40"/>
      <c r="D221" s="41"/>
      <c r="E221" s="109">
        <f>I221+M221+Q221+U221</f>
        <v>350</v>
      </c>
      <c r="F221" s="117">
        <f>F222+F224</f>
        <v>0</v>
      </c>
      <c r="G221" s="117">
        <f>G222+G224</f>
        <v>0</v>
      </c>
      <c r="H221" s="117">
        <f>H222+H224</f>
        <v>0</v>
      </c>
      <c r="I221" s="109">
        <f t="shared" si="105"/>
        <v>0</v>
      </c>
      <c r="J221" s="133">
        <f>J222+J224</f>
        <v>0</v>
      </c>
      <c r="K221" s="133">
        <f>K222+K224</f>
        <v>0</v>
      </c>
      <c r="L221" s="133">
        <f>L222+L224</f>
        <v>0</v>
      </c>
      <c r="M221" s="109">
        <f t="shared" si="106"/>
        <v>0</v>
      </c>
      <c r="N221" s="133">
        <f>N222+N224</f>
        <v>0</v>
      </c>
      <c r="O221" s="133">
        <f>O222+O224</f>
        <v>0</v>
      </c>
      <c r="P221" s="133">
        <f>P222+P224</f>
        <v>0</v>
      </c>
      <c r="Q221" s="109">
        <f t="shared" si="102"/>
        <v>0</v>
      </c>
      <c r="R221" s="117">
        <f aca="true" t="shared" si="107" ref="R221:T222">R222</f>
        <v>350</v>
      </c>
      <c r="S221" s="117">
        <f t="shared" si="107"/>
        <v>0</v>
      </c>
      <c r="T221" s="117">
        <f t="shared" si="107"/>
        <v>0</v>
      </c>
      <c r="U221" s="109">
        <f>SUM(R221:T221)</f>
        <v>350</v>
      </c>
    </row>
    <row r="222" spans="1:21" ht="21.75" customHeight="1">
      <c r="A222" s="90" t="s">
        <v>255</v>
      </c>
      <c r="B222" s="45">
        <v>240</v>
      </c>
      <c r="C222" s="46"/>
      <c r="D222" s="47"/>
      <c r="E222" s="109">
        <f t="shared" si="104"/>
        <v>350</v>
      </c>
      <c r="F222" s="118">
        <f>F223</f>
        <v>0</v>
      </c>
      <c r="G222" s="118">
        <f>G223</f>
        <v>0</v>
      </c>
      <c r="H222" s="118">
        <f>H223</f>
        <v>0</v>
      </c>
      <c r="I222" s="122">
        <f aca="true" t="shared" si="108" ref="I222:I228">F222+G222+H222</f>
        <v>0</v>
      </c>
      <c r="J222" s="134">
        <f>J223</f>
        <v>0</v>
      </c>
      <c r="K222" s="134">
        <f>K223</f>
        <v>0</v>
      </c>
      <c r="L222" s="134">
        <f>L223</f>
        <v>0</v>
      </c>
      <c r="M222" s="122">
        <f aca="true" t="shared" si="109" ref="M222:M228">J222+K222+L222</f>
        <v>0</v>
      </c>
      <c r="N222" s="134">
        <f>N223</f>
        <v>0</v>
      </c>
      <c r="O222" s="134">
        <f>O223</f>
        <v>0</v>
      </c>
      <c r="P222" s="134">
        <f>P223</f>
        <v>0</v>
      </c>
      <c r="Q222" s="122">
        <f aca="true" t="shared" si="110" ref="Q222:Q228">N222+O222+P222</f>
        <v>0</v>
      </c>
      <c r="R222" s="118">
        <f t="shared" si="107"/>
        <v>350</v>
      </c>
      <c r="S222" s="118">
        <f t="shared" si="107"/>
        <v>0</v>
      </c>
      <c r="T222" s="118">
        <f t="shared" si="107"/>
        <v>0</v>
      </c>
      <c r="U222" s="122">
        <f aca="true" t="shared" si="111" ref="U222:U235">R222+S222+T222</f>
        <v>350</v>
      </c>
    </row>
    <row r="223" spans="1:21" ht="13.5" customHeight="1">
      <c r="A223" s="88" t="s">
        <v>147</v>
      </c>
      <c r="B223" s="39">
        <v>244</v>
      </c>
      <c r="C223" s="40" t="s">
        <v>105</v>
      </c>
      <c r="D223" s="41"/>
      <c r="E223" s="109">
        <f t="shared" si="104"/>
        <v>350</v>
      </c>
      <c r="F223" s="117"/>
      <c r="G223" s="117">
        <v>0</v>
      </c>
      <c r="H223" s="117">
        <v>0</v>
      </c>
      <c r="I223" s="122">
        <f t="shared" si="108"/>
        <v>0</v>
      </c>
      <c r="J223" s="133"/>
      <c r="K223" s="133"/>
      <c r="L223" s="133">
        <f>350-350</f>
        <v>0</v>
      </c>
      <c r="M223" s="122">
        <f t="shared" si="109"/>
        <v>0</v>
      </c>
      <c r="N223" s="133"/>
      <c r="O223" s="133"/>
      <c r="P223" s="133"/>
      <c r="Q223" s="122">
        <f t="shared" si="110"/>
        <v>0</v>
      </c>
      <c r="R223" s="117">
        <v>350</v>
      </c>
      <c r="S223" s="117"/>
      <c r="T223" s="117"/>
      <c r="U223" s="122">
        <f t="shared" si="111"/>
        <v>350</v>
      </c>
    </row>
    <row r="224" spans="1:21" ht="33" customHeight="1">
      <c r="A224" s="88" t="s">
        <v>258</v>
      </c>
      <c r="B224" s="45">
        <v>240</v>
      </c>
      <c r="C224" s="46"/>
      <c r="D224" s="41"/>
      <c r="E224" s="109">
        <f t="shared" si="104"/>
        <v>400</v>
      </c>
      <c r="F224" s="118">
        <f>F225</f>
        <v>0</v>
      </c>
      <c r="G224" s="118">
        <f>G225</f>
        <v>0</v>
      </c>
      <c r="H224" s="118">
        <f>H225</f>
        <v>0</v>
      </c>
      <c r="I224" s="122">
        <f t="shared" si="108"/>
        <v>0</v>
      </c>
      <c r="J224" s="134">
        <f>J225</f>
        <v>0</v>
      </c>
      <c r="K224" s="134">
        <f>K225</f>
        <v>0</v>
      </c>
      <c r="L224" s="134">
        <f>L225</f>
        <v>0</v>
      </c>
      <c r="M224" s="122">
        <f t="shared" si="109"/>
        <v>0</v>
      </c>
      <c r="N224" s="134">
        <f>N225</f>
        <v>0</v>
      </c>
      <c r="O224" s="134">
        <f>O225</f>
        <v>0</v>
      </c>
      <c r="P224" s="134">
        <f>P225</f>
        <v>0</v>
      </c>
      <c r="Q224" s="122">
        <f t="shared" si="110"/>
        <v>0</v>
      </c>
      <c r="R224" s="118">
        <f>R225</f>
        <v>400</v>
      </c>
      <c r="S224" s="118">
        <f>S225</f>
        <v>0</v>
      </c>
      <c r="T224" s="118">
        <f>T225</f>
        <v>0</v>
      </c>
      <c r="U224" s="122">
        <f t="shared" si="111"/>
        <v>400</v>
      </c>
    </row>
    <row r="225" spans="1:21" ht="13.5" customHeight="1">
      <c r="A225" s="88" t="s">
        <v>147</v>
      </c>
      <c r="B225" s="39">
        <v>244</v>
      </c>
      <c r="C225" s="40" t="s">
        <v>103</v>
      </c>
      <c r="D225" s="41"/>
      <c r="E225" s="109">
        <f t="shared" si="104"/>
        <v>400</v>
      </c>
      <c r="F225" s="117"/>
      <c r="G225" s="117"/>
      <c r="H225" s="117"/>
      <c r="I225" s="122">
        <f t="shared" si="108"/>
        <v>0</v>
      </c>
      <c r="J225" s="133"/>
      <c r="K225" s="133"/>
      <c r="L225" s="133">
        <f>200-200</f>
        <v>0</v>
      </c>
      <c r="M225" s="122">
        <f t="shared" si="109"/>
        <v>0</v>
      </c>
      <c r="N225" s="133"/>
      <c r="O225" s="133"/>
      <c r="P225" s="133"/>
      <c r="Q225" s="122">
        <f t="shared" si="110"/>
        <v>0</v>
      </c>
      <c r="R225" s="117">
        <v>400</v>
      </c>
      <c r="S225" s="117"/>
      <c r="T225" s="117"/>
      <c r="U225" s="122">
        <f t="shared" si="111"/>
        <v>400</v>
      </c>
    </row>
    <row r="226" spans="1:21" ht="24.75" customHeight="1" hidden="1">
      <c r="A226" s="88" t="s">
        <v>264</v>
      </c>
      <c r="B226" s="45">
        <v>240</v>
      </c>
      <c r="C226" s="46"/>
      <c r="D226" s="41"/>
      <c r="E226" s="109">
        <f>I226+M226+Q226+U226</f>
        <v>0</v>
      </c>
      <c r="F226" s="118">
        <f>F227+F228</f>
        <v>0</v>
      </c>
      <c r="G226" s="118">
        <f>G227+G228</f>
        <v>0</v>
      </c>
      <c r="H226" s="118">
        <f>H227+H228</f>
        <v>0</v>
      </c>
      <c r="I226" s="122">
        <f t="shared" si="108"/>
        <v>0</v>
      </c>
      <c r="J226" s="134">
        <f>J227+J228</f>
        <v>0</v>
      </c>
      <c r="K226" s="134">
        <f>K227+K228</f>
        <v>0</v>
      </c>
      <c r="L226" s="134">
        <f>L227+L228</f>
        <v>0</v>
      </c>
      <c r="M226" s="122">
        <f t="shared" si="109"/>
        <v>0</v>
      </c>
      <c r="N226" s="134">
        <f>N227+N228</f>
        <v>0</v>
      </c>
      <c r="O226" s="134">
        <f>O227+O228</f>
        <v>0</v>
      </c>
      <c r="P226" s="134">
        <f>P227+P228</f>
        <v>0</v>
      </c>
      <c r="Q226" s="122">
        <f t="shared" si="110"/>
        <v>0</v>
      </c>
      <c r="R226" s="118">
        <f>R227+R228</f>
        <v>0</v>
      </c>
      <c r="S226" s="118">
        <f>S227+S228</f>
        <v>0</v>
      </c>
      <c r="T226" s="118">
        <f>T227+T228</f>
        <v>0</v>
      </c>
      <c r="U226" s="122">
        <f t="shared" si="111"/>
        <v>0</v>
      </c>
    </row>
    <row r="227" spans="1:21" ht="13.5" customHeight="1" hidden="1">
      <c r="A227" s="88" t="s">
        <v>147</v>
      </c>
      <c r="B227" s="39">
        <v>244</v>
      </c>
      <c r="C227" s="40" t="s">
        <v>105</v>
      </c>
      <c r="D227" s="41"/>
      <c r="E227" s="109">
        <f>I227+M227+Q227+U227</f>
        <v>0</v>
      </c>
      <c r="F227" s="117"/>
      <c r="G227" s="117"/>
      <c r="H227" s="117"/>
      <c r="I227" s="122">
        <f t="shared" si="108"/>
        <v>0</v>
      </c>
      <c r="J227" s="133"/>
      <c r="K227" s="133"/>
      <c r="L227" s="133"/>
      <c r="M227" s="122">
        <f t="shared" si="109"/>
        <v>0</v>
      </c>
      <c r="N227" s="133"/>
      <c r="O227" s="133"/>
      <c r="P227" s="133"/>
      <c r="Q227" s="122">
        <f t="shared" si="110"/>
        <v>0</v>
      </c>
      <c r="R227" s="117"/>
      <c r="S227" s="117"/>
      <c r="T227" s="117"/>
      <c r="U227" s="122">
        <f t="shared" si="111"/>
        <v>0</v>
      </c>
    </row>
    <row r="228" spans="1:21" ht="26.25" customHeight="1" hidden="1">
      <c r="A228" s="88" t="s">
        <v>146</v>
      </c>
      <c r="B228" s="39">
        <v>244</v>
      </c>
      <c r="C228" s="40" t="s">
        <v>111</v>
      </c>
      <c r="D228" s="41"/>
      <c r="E228" s="109">
        <f>I228+M228+Q228+U228</f>
        <v>0</v>
      </c>
      <c r="F228" s="117"/>
      <c r="G228" s="117"/>
      <c r="H228" s="117"/>
      <c r="I228" s="122">
        <f t="shared" si="108"/>
        <v>0</v>
      </c>
      <c r="J228" s="133"/>
      <c r="K228" s="133"/>
      <c r="L228" s="133"/>
      <c r="M228" s="122">
        <f t="shared" si="109"/>
        <v>0</v>
      </c>
      <c r="N228" s="133"/>
      <c r="O228" s="133"/>
      <c r="P228" s="133"/>
      <c r="Q228" s="122">
        <f t="shared" si="110"/>
        <v>0</v>
      </c>
      <c r="R228" s="117"/>
      <c r="S228" s="117"/>
      <c r="T228" s="117"/>
      <c r="U228" s="122">
        <f t="shared" si="111"/>
        <v>0</v>
      </c>
    </row>
    <row r="229" spans="1:21" ht="25.5" customHeight="1">
      <c r="A229" s="89" t="s">
        <v>284</v>
      </c>
      <c r="B229" s="39">
        <v>240</v>
      </c>
      <c r="C229" s="40"/>
      <c r="D229" s="41"/>
      <c r="E229" s="109">
        <f aca="true" t="shared" si="112" ref="E229:E237">I229+M229+Q229+U229</f>
        <v>5297.8857</v>
      </c>
      <c r="F229" s="117">
        <f>F230+F232+F234+F236+F238+F240</f>
        <v>0</v>
      </c>
      <c r="G229" s="117">
        <f>G230+G232+G234+G236+G238+G240</f>
        <v>0</v>
      </c>
      <c r="H229" s="117">
        <f>H230+H232+H234+H236+H238+H240</f>
        <v>0</v>
      </c>
      <c r="I229" s="109">
        <f aca="true" t="shared" si="113" ref="I229:I235">SUM(F229:H229)</f>
        <v>0</v>
      </c>
      <c r="J229" s="117">
        <f>J230+J232+J234+J236+J238+J240</f>
        <v>0</v>
      </c>
      <c r="K229" s="133">
        <f>K230+K232+K234+K236+K238+K240</f>
        <v>0</v>
      </c>
      <c r="L229" s="133">
        <f>L230+L232+L234+L236+L238+L240</f>
        <v>16.68</v>
      </c>
      <c r="M229" s="109">
        <f aca="true" t="shared" si="114" ref="M229:M235">SUM(J229:L229)</f>
        <v>16.68</v>
      </c>
      <c r="N229" s="133">
        <f>N230+N232+N234+N236+N238+N240</f>
        <v>0</v>
      </c>
      <c r="O229" s="133">
        <f>O230+O232+O234+O236+O238+O240</f>
        <v>0</v>
      </c>
      <c r="P229" s="133">
        <f>P230+P232+P234+P236+P238+P240</f>
        <v>0</v>
      </c>
      <c r="Q229" s="109">
        <f aca="true" t="shared" si="115" ref="Q229:Q235">SUM(N229:P229)</f>
        <v>0</v>
      </c>
      <c r="R229" s="117">
        <f>R230+R232+R234+R236+R238+R240</f>
        <v>5281.2056999999995</v>
      </c>
      <c r="S229" s="117">
        <f>S230+S232+S234+S236+S238+S240</f>
        <v>0</v>
      </c>
      <c r="T229" s="117">
        <f>T230+T232+T234+T236+T238+T240</f>
        <v>0</v>
      </c>
      <c r="U229" s="109">
        <f t="shared" si="111"/>
        <v>5281.2056999999995</v>
      </c>
    </row>
    <row r="230" spans="1:21" ht="47.25" customHeight="1">
      <c r="A230" s="99" t="s">
        <v>285</v>
      </c>
      <c r="B230" s="105" t="s">
        <v>288</v>
      </c>
      <c r="C230" s="105"/>
      <c r="D230" s="41"/>
      <c r="E230" s="122">
        <f t="shared" si="112"/>
        <v>35.74276</v>
      </c>
      <c r="F230" s="118">
        <f>F231</f>
        <v>0</v>
      </c>
      <c r="G230" s="118">
        <f>G231</f>
        <v>0</v>
      </c>
      <c r="H230" s="118">
        <f>H231</f>
        <v>0</v>
      </c>
      <c r="I230" s="122">
        <f t="shared" si="113"/>
        <v>0</v>
      </c>
      <c r="J230" s="134">
        <f>J231</f>
        <v>0</v>
      </c>
      <c r="K230" s="134">
        <f>K231</f>
        <v>0</v>
      </c>
      <c r="L230" s="134">
        <f>L231</f>
        <v>0</v>
      </c>
      <c r="M230" s="122">
        <f t="shared" si="114"/>
        <v>0</v>
      </c>
      <c r="N230" s="134">
        <f>N231</f>
        <v>0</v>
      </c>
      <c r="O230" s="134">
        <f>O231</f>
        <v>0</v>
      </c>
      <c r="P230" s="134">
        <f>P231</f>
        <v>0</v>
      </c>
      <c r="Q230" s="122">
        <f t="shared" si="115"/>
        <v>0</v>
      </c>
      <c r="R230" s="118">
        <f>R231</f>
        <v>35.74276</v>
      </c>
      <c r="S230" s="118">
        <f>S231</f>
        <v>0</v>
      </c>
      <c r="T230" s="118">
        <f>T231</f>
        <v>0</v>
      </c>
      <c r="U230" s="122">
        <f t="shared" si="111"/>
        <v>35.74276</v>
      </c>
    </row>
    <row r="231" spans="1:21" ht="13.5" customHeight="1">
      <c r="A231" s="107" t="s">
        <v>224</v>
      </c>
      <c r="B231" s="105" t="s">
        <v>278</v>
      </c>
      <c r="C231" s="105" t="s">
        <v>103</v>
      </c>
      <c r="D231" s="41"/>
      <c r="E231" s="122">
        <f t="shared" si="112"/>
        <v>35.74276</v>
      </c>
      <c r="F231" s="118"/>
      <c r="G231" s="118">
        <v>0</v>
      </c>
      <c r="H231" s="118">
        <v>0</v>
      </c>
      <c r="I231" s="122">
        <f t="shared" si="113"/>
        <v>0</v>
      </c>
      <c r="J231" s="134"/>
      <c r="K231" s="134">
        <v>0</v>
      </c>
      <c r="L231" s="134">
        <f>13.6-13.6</f>
        <v>0</v>
      </c>
      <c r="M231" s="122">
        <f t="shared" si="114"/>
        <v>0</v>
      </c>
      <c r="N231" s="134"/>
      <c r="O231" s="134"/>
      <c r="P231" s="134"/>
      <c r="Q231" s="122">
        <f t="shared" si="115"/>
        <v>0</v>
      </c>
      <c r="R231" s="118">
        <v>35.74276</v>
      </c>
      <c r="S231" s="118"/>
      <c r="T231" s="118"/>
      <c r="U231" s="122">
        <f t="shared" si="111"/>
        <v>35.74276</v>
      </c>
    </row>
    <row r="232" spans="1:21" ht="69.75" customHeight="1">
      <c r="A232" s="99" t="s">
        <v>286</v>
      </c>
      <c r="B232" s="104" t="s">
        <v>288</v>
      </c>
      <c r="C232" s="104"/>
      <c r="D232" s="41"/>
      <c r="E232" s="122">
        <f t="shared" si="112"/>
        <v>110.598</v>
      </c>
      <c r="F232" s="118">
        <f>F233</f>
        <v>0</v>
      </c>
      <c r="G232" s="118">
        <f>G233</f>
        <v>0</v>
      </c>
      <c r="H232" s="118">
        <f>H233</f>
        <v>0</v>
      </c>
      <c r="I232" s="122">
        <f t="shared" si="113"/>
        <v>0</v>
      </c>
      <c r="J232" s="134">
        <f>J233</f>
        <v>0</v>
      </c>
      <c r="K232" s="134">
        <f>K233</f>
        <v>0</v>
      </c>
      <c r="L232" s="134">
        <f>L233</f>
        <v>0</v>
      </c>
      <c r="M232" s="122">
        <f t="shared" si="114"/>
        <v>0</v>
      </c>
      <c r="N232" s="134">
        <f>N233</f>
        <v>0</v>
      </c>
      <c r="O232" s="134">
        <f>O233</f>
        <v>0</v>
      </c>
      <c r="P232" s="134">
        <f>P233</f>
        <v>0</v>
      </c>
      <c r="Q232" s="122">
        <f t="shared" si="115"/>
        <v>0</v>
      </c>
      <c r="R232" s="118">
        <f>R233</f>
        <v>110.598</v>
      </c>
      <c r="S232" s="118">
        <f>S233</f>
        <v>0</v>
      </c>
      <c r="T232" s="118">
        <f>T233</f>
        <v>0</v>
      </c>
      <c r="U232" s="122">
        <f t="shared" si="111"/>
        <v>110.598</v>
      </c>
    </row>
    <row r="233" spans="1:21" ht="13.5" customHeight="1">
      <c r="A233" s="107" t="s">
        <v>224</v>
      </c>
      <c r="B233" s="105" t="s">
        <v>278</v>
      </c>
      <c r="C233" s="105" t="s">
        <v>105</v>
      </c>
      <c r="D233" s="41"/>
      <c r="E233" s="122">
        <f t="shared" si="112"/>
        <v>110.598</v>
      </c>
      <c r="F233" s="118">
        <v>0</v>
      </c>
      <c r="G233" s="118">
        <v>0</v>
      </c>
      <c r="H233" s="118">
        <v>0</v>
      </c>
      <c r="I233" s="122">
        <f t="shared" si="113"/>
        <v>0</v>
      </c>
      <c r="J233" s="134"/>
      <c r="K233" s="134"/>
      <c r="L233" s="134">
        <f>115.8-7.302-108.498</f>
        <v>0</v>
      </c>
      <c r="M233" s="122">
        <f t="shared" si="114"/>
        <v>0</v>
      </c>
      <c r="N233" s="134"/>
      <c r="O233" s="134"/>
      <c r="P233" s="134"/>
      <c r="Q233" s="122">
        <f t="shared" si="115"/>
        <v>0</v>
      </c>
      <c r="R233" s="118">
        <f>108.498+2.1</f>
        <v>110.598</v>
      </c>
      <c r="S233" s="118">
        <v>0</v>
      </c>
      <c r="T233" s="118">
        <v>0</v>
      </c>
      <c r="U233" s="122">
        <f t="shared" si="111"/>
        <v>110.598</v>
      </c>
    </row>
    <row r="234" spans="1:21" ht="68.25" customHeight="1">
      <c r="A234" s="99" t="s">
        <v>287</v>
      </c>
      <c r="B234" s="104" t="s">
        <v>288</v>
      </c>
      <c r="C234" s="104"/>
      <c r="D234" s="41"/>
      <c r="E234" s="122">
        <f t="shared" si="112"/>
        <v>4816.52579</v>
      </c>
      <c r="F234" s="118">
        <f>F235</f>
        <v>0</v>
      </c>
      <c r="G234" s="118">
        <f>G235</f>
        <v>0</v>
      </c>
      <c r="H234" s="118">
        <f>H235</f>
        <v>0</v>
      </c>
      <c r="I234" s="122">
        <f t="shared" si="113"/>
        <v>0</v>
      </c>
      <c r="J234" s="134">
        <f>J235</f>
        <v>0</v>
      </c>
      <c r="K234" s="134">
        <f>K235</f>
        <v>0</v>
      </c>
      <c r="L234" s="134">
        <f>L235</f>
        <v>0</v>
      </c>
      <c r="M234" s="122">
        <f t="shared" si="114"/>
        <v>0</v>
      </c>
      <c r="N234" s="134">
        <f>N235</f>
        <v>0</v>
      </c>
      <c r="O234" s="134">
        <f>O235</f>
        <v>0</v>
      </c>
      <c r="P234" s="134">
        <f>P235</f>
        <v>0</v>
      </c>
      <c r="Q234" s="122">
        <f t="shared" si="115"/>
        <v>0</v>
      </c>
      <c r="R234" s="118">
        <f>R235</f>
        <v>4816.52579</v>
      </c>
      <c r="S234" s="118">
        <f>S235</f>
        <v>0</v>
      </c>
      <c r="T234" s="118">
        <f>T235</f>
        <v>0</v>
      </c>
      <c r="U234" s="122">
        <f t="shared" si="111"/>
        <v>4816.52579</v>
      </c>
    </row>
    <row r="235" spans="1:21" ht="13.5" customHeight="1">
      <c r="A235" s="107" t="s">
        <v>224</v>
      </c>
      <c r="B235" s="105" t="s">
        <v>278</v>
      </c>
      <c r="C235" s="105" t="s">
        <v>103</v>
      </c>
      <c r="D235" s="41"/>
      <c r="E235" s="122">
        <f t="shared" si="112"/>
        <v>4816.52579</v>
      </c>
      <c r="F235" s="118">
        <v>0</v>
      </c>
      <c r="G235" s="118">
        <v>0</v>
      </c>
      <c r="H235" s="118"/>
      <c r="I235" s="122">
        <f t="shared" si="113"/>
        <v>0</v>
      </c>
      <c r="J235" s="134"/>
      <c r="K235" s="134"/>
      <c r="L235" s="134"/>
      <c r="M235" s="122">
        <f t="shared" si="114"/>
        <v>0</v>
      </c>
      <c r="N235" s="134"/>
      <c r="O235" s="134"/>
      <c r="P235" s="134"/>
      <c r="Q235" s="122">
        <f t="shared" si="115"/>
        <v>0</v>
      </c>
      <c r="R235" s="118">
        <v>4816.52579</v>
      </c>
      <c r="S235" s="118">
        <v>0</v>
      </c>
      <c r="T235" s="118">
        <v>0</v>
      </c>
      <c r="U235" s="122">
        <f t="shared" si="111"/>
        <v>4816.52579</v>
      </c>
    </row>
    <row r="236" spans="1:21" ht="70.5" customHeight="1" hidden="1">
      <c r="A236" s="99" t="s">
        <v>287</v>
      </c>
      <c r="B236" s="104" t="s">
        <v>288</v>
      </c>
      <c r="C236" s="104"/>
      <c r="D236" s="41"/>
      <c r="E236" s="130">
        <f t="shared" si="112"/>
        <v>0</v>
      </c>
      <c r="F236" s="130">
        <f>F237</f>
        <v>0</v>
      </c>
      <c r="G236" s="130">
        <f>G237</f>
        <v>0</v>
      </c>
      <c r="H236" s="130">
        <f>H237</f>
        <v>0</v>
      </c>
      <c r="I236" s="157">
        <f aca="true" t="shared" si="116" ref="I236:I241">F236+G236+H236</f>
        <v>0</v>
      </c>
      <c r="J236" s="130">
        <f>J237</f>
        <v>0</v>
      </c>
      <c r="K236" s="130">
        <f>K237</f>
        <v>0</v>
      </c>
      <c r="L236" s="130">
        <f>L237</f>
        <v>0</v>
      </c>
      <c r="M236" s="157">
        <f aca="true" t="shared" si="117" ref="M236:M241">J236+K236+L236</f>
        <v>0</v>
      </c>
      <c r="N236" s="130">
        <f>N237</f>
        <v>0</v>
      </c>
      <c r="O236" s="130">
        <f>O237</f>
        <v>0</v>
      </c>
      <c r="P236" s="130">
        <f>P237</f>
        <v>0</v>
      </c>
      <c r="Q236" s="157">
        <f aca="true" t="shared" si="118" ref="Q236:Q241">N236+O236+P236</f>
        <v>0</v>
      </c>
      <c r="R236" s="130">
        <f>R237</f>
        <v>0</v>
      </c>
      <c r="S236" s="130">
        <f>S237</f>
        <v>0</v>
      </c>
      <c r="T236" s="130">
        <f>T237</f>
        <v>0</v>
      </c>
      <c r="U236" s="157">
        <f>R236+S236+T236</f>
        <v>0</v>
      </c>
    </row>
    <row r="237" spans="1:21" ht="13.5" customHeight="1" hidden="1">
      <c r="A237" s="107" t="s">
        <v>224</v>
      </c>
      <c r="B237" s="105" t="s">
        <v>278</v>
      </c>
      <c r="C237" s="105" t="s">
        <v>103</v>
      </c>
      <c r="D237" s="41"/>
      <c r="E237" s="130">
        <f t="shared" si="112"/>
        <v>0</v>
      </c>
      <c r="F237" s="133"/>
      <c r="G237" s="133"/>
      <c r="H237" s="133"/>
      <c r="I237" s="157">
        <f t="shared" si="116"/>
        <v>0</v>
      </c>
      <c r="J237" s="133"/>
      <c r="K237" s="133"/>
      <c r="L237" s="133">
        <f>4816.52579-4816.52579</f>
        <v>0</v>
      </c>
      <c r="M237" s="157">
        <f t="shared" si="117"/>
        <v>0</v>
      </c>
      <c r="N237" s="133"/>
      <c r="O237" s="133"/>
      <c r="P237" s="133"/>
      <c r="Q237" s="157">
        <f t="shared" si="118"/>
        <v>0</v>
      </c>
      <c r="R237" s="133"/>
      <c r="S237" s="133"/>
      <c r="T237" s="133"/>
      <c r="U237" s="157">
        <f>R237+S237+T237</f>
        <v>0</v>
      </c>
    </row>
    <row r="238" spans="1:21" ht="73.5" customHeight="1">
      <c r="A238" s="91" t="s">
        <v>287</v>
      </c>
      <c r="B238" s="154" t="s">
        <v>288</v>
      </c>
      <c r="C238" s="154"/>
      <c r="D238" s="41"/>
      <c r="E238" s="130">
        <f>I238+M238+Q238+U238</f>
        <v>315.01915</v>
      </c>
      <c r="F238" s="130">
        <f>F239</f>
        <v>0</v>
      </c>
      <c r="G238" s="130">
        <f>G239</f>
        <v>0</v>
      </c>
      <c r="H238" s="130">
        <f>H239</f>
        <v>0</v>
      </c>
      <c r="I238" s="157">
        <f t="shared" si="116"/>
        <v>0</v>
      </c>
      <c r="J238" s="130">
        <f>J239</f>
        <v>0</v>
      </c>
      <c r="K238" s="130">
        <f>K239</f>
        <v>0</v>
      </c>
      <c r="L238" s="130">
        <f>L239</f>
        <v>0</v>
      </c>
      <c r="M238" s="157">
        <f t="shared" si="117"/>
        <v>0</v>
      </c>
      <c r="N238" s="130">
        <f>N239</f>
        <v>0</v>
      </c>
      <c r="O238" s="130">
        <f>O239</f>
        <v>0</v>
      </c>
      <c r="P238" s="130">
        <f>P239</f>
        <v>0</v>
      </c>
      <c r="Q238" s="157">
        <f t="shared" si="118"/>
        <v>0</v>
      </c>
      <c r="R238" s="130">
        <f>R239</f>
        <v>315.01915</v>
      </c>
      <c r="S238" s="130">
        <f>S239</f>
        <v>0</v>
      </c>
      <c r="T238" s="130">
        <f>T239</f>
        <v>0</v>
      </c>
      <c r="U238" s="157">
        <f>R238+S238+T238</f>
        <v>315.01915</v>
      </c>
    </row>
    <row r="239" spans="1:21" ht="13.5" customHeight="1">
      <c r="A239" s="156" t="s">
        <v>224</v>
      </c>
      <c r="B239" s="154" t="s">
        <v>278</v>
      </c>
      <c r="C239" s="154" t="s">
        <v>103</v>
      </c>
      <c r="D239" s="41"/>
      <c r="E239" s="130">
        <f>I239+M239+Q239+U239</f>
        <v>315.01915</v>
      </c>
      <c r="F239" s="133"/>
      <c r="G239" s="133"/>
      <c r="H239" s="133"/>
      <c r="I239" s="157">
        <f t="shared" si="116"/>
        <v>0</v>
      </c>
      <c r="J239" s="133"/>
      <c r="K239" s="133"/>
      <c r="L239" s="133">
        <f>253.50136-253.50136</f>
        <v>0</v>
      </c>
      <c r="M239" s="157">
        <f t="shared" si="117"/>
        <v>0</v>
      </c>
      <c r="N239" s="133"/>
      <c r="O239" s="133"/>
      <c r="P239" s="133"/>
      <c r="Q239" s="157">
        <f t="shared" si="118"/>
        <v>0</v>
      </c>
      <c r="R239" s="133">
        <f>253.50136+61.51779</f>
        <v>315.01915</v>
      </c>
      <c r="S239" s="133"/>
      <c r="T239" s="133"/>
      <c r="U239" s="157">
        <f>R239+S239+T239</f>
        <v>315.01915</v>
      </c>
    </row>
    <row r="240" spans="1:21" ht="54.75" customHeight="1">
      <c r="A240" s="91" t="s">
        <v>301</v>
      </c>
      <c r="B240" s="154" t="s">
        <v>288</v>
      </c>
      <c r="C240" s="154"/>
      <c r="D240" s="41"/>
      <c r="E240" s="130">
        <f>I240+M240+Q240+U240</f>
        <v>16.68</v>
      </c>
      <c r="F240" s="130">
        <f>F241</f>
        <v>0</v>
      </c>
      <c r="G240" s="130">
        <f>G241</f>
        <v>0</v>
      </c>
      <c r="H240" s="130">
        <f>H241</f>
        <v>0</v>
      </c>
      <c r="I240" s="157">
        <f t="shared" si="116"/>
        <v>0</v>
      </c>
      <c r="J240" s="130">
        <f>J241</f>
        <v>0</v>
      </c>
      <c r="K240" s="130">
        <f>K241</f>
        <v>0</v>
      </c>
      <c r="L240" s="130">
        <f>L241</f>
        <v>16.68</v>
      </c>
      <c r="M240" s="157">
        <f t="shared" si="117"/>
        <v>16.68</v>
      </c>
      <c r="N240" s="130">
        <f>N241</f>
        <v>0</v>
      </c>
      <c r="O240" s="130">
        <f>O241</f>
        <v>0</v>
      </c>
      <c r="P240" s="130">
        <f>P241</f>
        <v>0</v>
      </c>
      <c r="Q240" s="157">
        <f t="shared" si="118"/>
        <v>0</v>
      </c>
      <c r="R240" s="130">
        <f>R241</f>
        <v>3.32</v>
      </c>
      <c r="S240" s="130">
        <f>S241</f>
        <v>0</v>
      </c>
      <c r="T240" s="130">
        <f>T241</f>
        <v>0</v>
      </c>
      <c r="U240" s="157"/>
    </row>
    <row r="241" spans="1:21" ht="13.5" customHeight="1">
      <c r="A241" s="156" t="s">
        <v>224</v>
      </c>
      <c r="B241" s="154" t="s">
        <v>278</v>
      </c>
      <c r="C241" s="154" t="s">
        <v>103</v>
      </c>
      <c r="D241" s="41"/>
      <c r="E241" s="130">
        <f>I241+M241+Q241+U241</f>
        <v>16.68</v>
      </c>
      <c r="F241" s="133"/>
      <c r="G241" s="133"/>
      <c r="H241" s="133"/>
      <c r="I241" s="157">
        <f t="shared" si="116"/>
        <v>0</v>
      </c>
      <c r="J241" s="133"/>
      <c r="K241" s="133"/>
      <c r="L241" s="133">
        <f>20-3.32</f>
        <v>16.68</v>
      </c>
      <c r="M241" s="157">
        <f t="shared" si="117"/>
        <v>16.68</v>
      </c>
      <c r="N241" s="133"/>
      <c r="O241" s="133"/>
      <c r="P241" s="133"/>
      <c r="Q241" s="157">
        <f t="shared" si="118"/>
        <v>0</v>
      </c>
      <c r="R241" s="133">
        <v>3.32</v>
      </c>
      <c r="S241" s="133"/>
      <c r="T241" s="133"/>
      <c r="U241" s="157"/>
    </row>
    <row r="242" spans="1:21" ht="18.75" customHeight="1">
      <c r="A242" s="89" t="s">
        <v>163</v>
      </c>
      <c r="B242" s="42"/>
      <c r="C242" s="40"/>
      <c r="D242" s="41"/>
      <c r="E242" s="116">
        <f t="shared" si="104"/>
        <v>1169.6</v>
      </c>
      <c r="F242" s="119">
        <f aca="true" t="shared" si="119" ref="F242:H243">F243</f>
        <v>74.72742</v>
      </c>
      <c r="G242" s="119">
        <f t="shared" si="119"/>
        <v>65.56589</v>
      </c>
      <c r="H242" s="119">
        <f t="shared" si="119"/>
        <v>62.636880000000005</v>
      </c>
      <c r="I242" s="116">
        <f>SUM(F242:H242)</f>
        <v>202.93018999999998</v>
      </c>
      <c r="J242" s="161">
        <f aca="true" t="shared" si="120" ref="J242:L243">J243</f>
        <v>78.27027</v>
      </c>
      <c r="K242" s="161">
        <f t="shared" si="120"/>
        <v>107.78866</v>
      </c>
      <c r="L242" s="161">
        <f t="shared" si="120"/>
        <v>129.30085</v>
      </c>
      <c r="M242" s="116">
        <f aca="true" t="shared" si="121" ref="M242:M250">SUM(J242:L242)</f>
        <v>315.35978</v>
      </c>
      <c r="N242" s="161">
        <f aca="true" t="shared" si="122" ref="N242:P243">N243</f>
        <v>19.31633</v>
      </c>
      <c r="O242" s="161">
        <f t="shared" si="122"/>
        <v>100.66814</v>
      </c>
      <c r="P242" s="161">
        <f t="shared" si="122"/>
        <v>186.67092</v>
      </c>
      <c r="Q242" s="116">
        <f>SUM(N242:P242)</f>
        <v>306.65539</v>
      </c>
      <c r="R242" s="119">
        <f aca="true" t="shared" si="123" ref="R242:T243">R243</f>
        <v>112.63463999999999</v>
      </c>
      <c r="S242" s="119">
        <f t="shared" si="123"/>
        <v>116.00999999999999</v>
      </c>
      <c r="T242" s="119">
        <f t="shared" si="123"/>
        <v>116.00999999999999</v>
      </c>
      <c r="U242" s="116">
        <f aca="true" t="shared" si="124" ref="U242:U247">SUM(R242:T242)</f>
        <v>344.65464</v>
      </c>
    </row>
    <row r="243" spans="1:21" ht="71.25" customHeight="1">
      <c r="A243" s="89" t="s">
        <v>192</v>
      </c>
      <c r="B243" s="50" t="s">
        <v>194</v>
      </c>
      <c r="C243" s="40"/>
      <c r="D243" s="41"/>
      <c r="E243" s="109">
        <f t="shared" si="104"/>
        <v>1169.6</v>
      </c>
      <c r="F243" s="117">
        <f t="shared" si="119"/>
        <v>74.72742</v>
      </c>
      <c r="G243" s="117">
        <f t="shared" si="119"/>
        <v>65.56589</v>
      </c>
      <c r="H243" s="117">
        <f t="shared" si="119"/>
        <v>62.636880000000005</v>
      </c>
      <c r="I243" s="109">
        <f>SUM(F243:H243)</f>
        <v>202.93018999999998</v>
      </c>
      <c r="J243" s="133">
        <f t="shared" si="120"/>
        <v>78.27027</v>
      </c>
      <c r="K243" s="133">
        <f t="shared" si="120"/>
        <v>107.78866</v>
      </c>
      <c r="L243" s="133">
        <f t="shared" si="120"/>
        <v>129.30085</v>
      </c>
      <c r="M243" s="109">
        <f t="shared" si="121"/>
        <v>315.35978</v>
      </c>
      <c r="N243" s="133">
        <f t="shared" si="122"/>
        <v>19.31633</v>
      </c>
      <c r="O243" s="133">
        <f t="shared" si="122"/>
        <v>100.66814</v>
      </c>
      <c r="P243" s="133">
        <f t="shared" si="122"/>
        <v>186.67092</v>
      </c>
      <c r="Q243" s="109">
        <f>SUM(N243:P243)</f>
        <v>306.65539</v>
      </c>
      <c r="R243" s="117">
        <f t="shared" si="123"/>
        <v>112.63463999999999</v>
      </c>
      <c r="S243" s="117">
        <f t="shared" si="123"/>
        <v>116.00999999999999</v>
      </c>
      <c r="T243" s="117">
        <f t="shared" si="123"/>
        <v>116.00999999999999</v>
      </c>
      <c r="U243" s="109">
        <f t="shared" si="124"/>
        <v>344.65464</v>
      </c>
    </row>
    <row r="244" spans="1:21" ht="51">
      <c r="A244" s="90" t="s">
        <v>193</v>
      </c>
      <c r="B244" s="45">
        <v>110</v>
      </c>
      <c r="C244" s="46" t="s">
        <v>113</v>
      </c>
      <c r="D244" s="47"/>
      <c r="E244" s="122">
        <f t="shared" si="104"/>
        <v>1169.6</v>
      </c>
      <c r="F244" s="118">
        <f>F245+F247</f>
        <v>74.72742</v>
      </c>
      <c r="G244" s="118">
        <f>G245+G247</f>
        <v>65.56589</v>
      </c>
      <c r="H244" s="118">
        <f>H245+H247</f>
        <v>62.636880000000005</v>
      </c>
      <c r="I244" s="122">
        <f>SUM(F244:H244)</f>
        <v>202.93018999999998</v>
      </c>
      <c r="J244" s="134">
        <f>J245+J247</f>
        <v>78.27027</v>
      </c>
      <c r="K244" s="134">
        <f>K245+K247</f>
        <v>107.78866</v>
      </c>
      <c r="L244" s="134">
        <f>L245+L247</f>
        <v>129.30085</v>
      </c>
      <c r="M244" s="122">
        <f t="shared" si="121"/>
        <v>315.35978</v>
      </c>
      <c r="N244" s="134">
        <f>N245+N247</f>
        <v>19.31633</v>
      </c>
      <c r="O244" s="134">
        <f>O245+O247</f>
        <v>100.66814</v>
      </c>
      <c r="P244" s="134">
        <f>P245+P247</f>
        <v>186.67092</v>
      </c>
      <c r="Q244" s="122">
        <f>SUM(N244:P244)</f>
        <v>306.65539</v>
      </c>
      <c r="R244" s="118">
        <f>R245+R247+R246</f>
        <v>112.63463999999999</v>
      </c>
      <c r="S244" s="118">
        <f>S245+S247+S246</f>
        <v>116.00999999999999</v>
      </c>
      <c r="T244" s="118">
        <f>T245+T247+T246</f>
        <v>116.00999999999999</v>
      </c>
      <c r="U244" s="122">
        <f t="shared" si="124"/>
        <v>344.65464</v>
      </c>
    </row>
    <row r="245" spans="1:21" ht="12.75">
      <c r="A245" s="88" t="s">
        <v>90</v>
      </c>
      <c r="B245" s="39">
        <v>111</v>
      </c>
      <c r="C245" s="40" t="s">
        <v>91</v>
      </c>
      <c r="D245" s="41"/>
      <c r="E245" s="109">
        <f t="shared" si="104"/>
        <v>898.31</v>
      </c>
      <c r="F245" s="117">
        <v>74.72742</v>
      </c>
      <c r="G245" s="117">
        <v>44.991</v>
      </c>
      <c r="H245" s="117">
        <f>62.08158-22.50381</f>
        <v>39.57777</v>
      </c>
      <c r="I245" s="122">
        <f>SUM(F245:H245)</f>
        <v>159.29619</v>
      </c>
      <c r="J245" s="133">
        <v>60.11542</v>
      </c>
      <c r="K245" s="133">
        <v>89.58411</v>
      </c>
      <c r="L245" s="133">
        <f>74.87+22.53428-6.40617</f>
        <v>90.99811</v>
      </c>
      <c r="M245" s="109">
        <f t="shared" si="121"/>
        <v>240.69763999999998</v>
      </c>
      <c r="N245" s="133">
        <v>17.85125</v>
      </c>
      <c r="O245" s="133">
        <v>79.67299</v>
      </c>
      <c r="P245" s="133">
        <v>140.97571</v>
      </c>
      <c r="Q245" s="109">
        <f>SUM(N245:P245)</f>
        <v>238.49994999999998</v>
      </c>
      <c r="R245" s="117">
        <f>89.1+63.41-70.91378</f>
        <v>81.59621999999999</v>
      </c>
      <c r="S245" s="117">
        <v>89.11</v>
      </c>
      <c r="T245" s="117">
        <v>89.11</v>
      </c>
      <c r="U245" s="109">
        <f t="shared" si="124"/>
        <v>259.81622</v>
      </c>
    </row>
    <row r="246" spans="1:21" ht="12.75">
      <c r="A246" s="88" t="s">
        <v>92</v>
      </c>
      <c r="B246" s="39"/>
      <c r="C246" s="40" t="s">
        <v>93</v>
      </c>
      <c r="D246" s="41"/>
      <c r="E246" s="109">
        <f>U246</f>
        <v>0</v>
      </c>
      <c r="F246" s="117"/>
      <c r="G246" s="117"/>
      <c r="H246" s="117"/>
      <c r="I246" s="122">
        <f>SUM(F246:H246)</f>
        <v>0</v>
      </c>
      <c r="J246" s="133"/>
      <c r="K246" s="133"/>
      <c r="L246" s="133"/>
      <c r="M246" s="109">
        <f t="shared" si="121"/>
        <v>0</v>
      </c>
      <c r="N246" s="133"/>
      <c r="O246" s="133"/>
      <c r="P246" s="133"/>
      <c r="Q246" s="109">
        <f>SUM(N246:P246)</f>
        <v>0</v>
      </c>
      <c r="R246" s="117"/>
      <c r="S246" s="117"/>
      <c r="T246" s="117"/>
      <c r="U246" s="109">
        <f t="shared" si="124"/>
        <v>0</v>
      </c>
    </row>
    <row r="247" spans="1:21" ht="12.75">
      <c r="A247" s="88" t="s">
        <v>94</v>
      </c>
      <c r="B247" s="39">
        <v>111</v>
      </c>
      <c r="C247" s="40" t="s">
        <v>95</v>
      </c>
      <c r="D247" s="41"/>
      <c r="E247" s="109">
        <f>I247+M247+Q247+U247</f>
        <v>271.28999999999996</v>
      </c>
      <c r="F247" s="117">
        <v>0</v>
      </c>
      <c r="G247" s="117">
        <v>20.57489</v>
      </c>
      <c r="H247" s="117">
        <f>34.35511-11.296</f>
        <v>23.059110000000004</v>
      </c>
      <c r="I247" s="109">
        <f>F247+G247+H247</f>
        <v>43.634</v>
      </c>
      <c r="J247" s="133">
        <v>18.15485</v>
      </c>
      <c r="K247" s="133">
        <v>18.20455</v>
      </c>
      <c r="L247" s="133">
        <f>22.61+20.1566-4.46386</f>
        <v>38.30274</v>
      </c>
      <c r="M247" s="109">
        <f t="shared" si="121"/>
        <v>74.66214</v>
      </c>
      <c r="N247" s="133">
        <v>1.46508</v>
      </c>
      <c r="O247" s="133">
        <v>20.99515</v>
      </c>
      <c r="P247" s="133">
        <v>45.69521</v>
      </c>
      <c r="Q247" s="109">
        <f aca="true" t="shared" si="125" ref="Q247:Q256">SUM(N247:P247)</f>
        <v>68.15544</v>
      </c>
      <c r="R247" s="117">
        <f>26.9+25.61-21.47158</f>
        <v>31.03842</v>
      </c>
      <c r="S247" s="117">
        <v>26.9</v>
      </c>
      <c r="T247" s="117">
        <v>26.9</v>
      </c>
      <c r="U247" s="109">
        <f t="shared" si="124"/>
        <v>84.83841999999999</v>
      </c>
    </row>
    <row r="248" spans="1:21" ht="17.25" customHeight="1">
      <c r="A248" s="89" t="s">
        <v>234</v>
      </c>
      <c r="B248" s="50" t="s">
        <v>194</v>
      </c>
      <c r="C248" s="40"/>
      <c r="D248" s="41"/>
      <c r="E248" s="123">
        <f>I248+M248+Q248+U248</f>
        <v>630</v>
      </c>
      <c r="F248" s="228">
        <f aca="true" t="shared" si="126" ref="F248:H249">F249</f>
        <v>0</v>
      </c>
      <c r="G248" s="228">
        <f t="shared" si="126"/>
        <v>0</v>
      </c>
      <c r="H248" s="228">
        <f t="shared" si="126"/>
        <v>0</v>
      </c>
      <c r="I248" s="123">
        <f>SUM(F248:H248)</f>
        <v>0</v>
      </c>
      <c r="J248" s="162">
        <f aca="true" t="shared" si="127" ref="J248:L249">J249</f>
        <v>0</v>
      </c>
      <c r="K248" s="162">
        <f t="shared" si="127"/>
        <v>0</v>
      </c>
      <c r="L248" s="162">
        <f t="shared" si="127"/>
        <v>400</v>
      </c>
      <c r="M248" s="123">
        <f t="shared" si="121"/>
        <v>400</v>
      </c>
      <c r="N248" s="162">
        <f aca="true" t="shared" si="128" ref="N248:P249">N249</f>
        <v>0</v>
      </c>
      <c r="O248" s="162">
        <f t="shared" si="128"/>
        <v>0</v>
      </c>
      <c r="P248" s="162">
        <f t="shared" si="128"/>
        <v>0</v>
      </c>
      <c r="Q248" s="123">
        <f t="shared" si="125"/>
        <v>0</v>
      </c>
      <c r="R248" s="228">
        <f aca="true" t="shared" si="129" ref="R248:T249">R249</f>
        <v>230</v>
      </c>
      <c r="S248" s="228">
        <f t="shared" si="129"/>
        <v>0</v>
      </c>
      <c r="T248" s="228">
        <f t="shared" si="129"/>
        <v>0</v>
      </c>
      <c r="U248" s="123">
        <f aca="true" t="shared" si="130" ref="U248:U258">SUM(R248:T248)</f>
        <v>230</v>
      </c>
    </row>
    <row r="249" spans="1:21" ht="41.25">
      <c r="A249" s="89" t="s">
        <v>235</v>
      </c>
      <c r="B249" s="42">
        <v>200</v>
      </c>
      <c r="C249" s="43"/>
      <c r="D249" s="44"/>
      <c r="E249" s="122">
        <f>I249+M249+Q249+U249</f>
        <v>630</v>
      </c>
      <c r="F249" s="122">
        <f t="shared" si="126"/>
        <v>0</v>
      </c>
      <c r="G249" s="122">
        <f t="shared" si="126"/>
        <v>0</v>
      </c>
      <c r="H249" s="122">
        <f t="shared" si="126"/>
        <v>0</v>
      </c>
      <c r="I249" s="122">
        <f>SUM(F249:H249)</f>
        <v>0</v>
      </c>
      <c r="J249" s="157">
        <f t="shared" si="127"/>
        <v>0</v>
      </c>
      <c r="K249" s="157">
        <f t="shared" si="127"/>
        <v>0</v>
      </c>
      <c r="L249" s="157">
        <f t="shared" si="127"/>
        <v>400</v>
      </c>
      <c r="M249" s="122">
        <f t="shared" si="121"/>
        <v>400</v>
      </c>
      <c r="N249" s="157">
        <f t="shared" si="128"/>
        <v>0</v>
      </c>
      <c r="O249" s="157">
        <f t="shared" si="128"/>
        <v>0</v>
      </c>
      <c r="P249" s="157">
        <f t="shared" si="128"/>
        <v>0</v>
      </c>
      <c r="Q249" s="122">
        <f t="shared" si="125"/>
        <v>0</v>
      </c>
      <c r="R249" s="122">
        <f t="shared" si="129"/>
        <v>230</v>
      </c>
      <c r="S249" s="122">
        <f t="shared" si="129"/>
        <v>0</v>
      </c>
      <c r="T249" s="122">
        <f t="shared" si="129"/>
        <v>0</v>
      </c>
      <c r="U249" s="122">
        <f t="shared" si="130"/>
        <v>230</v>
      </c>
    </row>
    <row r="250" spans="1:21" ht="12.75">
      <c r="A250" s="88" t="s">
        <v>224</v>
      </c>
      <c r="B250" s="39">
        <v>244</v>
      </c>
      <c r="C250" s="40" t="s">
        <v>103</v>
      </c>
      <c r="D250" s="41"/>
      <c r="E250" s="109">
        <f>I250+M250+Q250+U250</f>
        <v>630</v>
      </c>
      <c r="F250" s="117">
        <v>0</v>
      </c>
      <c r="G250" s="117">
        <v>0</v>
      </c>
      <c r="H250" s="117">
        <v>0</v>
      </c>
      <c r="I250" s="109">
        <f>SUM(F250:H250)</f>
        <v>0</v>
      </c>
      <c r="J250" s="133"/>
      <c r="K250" s="133"/>
      <c r="L250" s="133">
        <f>50.67+349.33</f>
        <v>400</v>
      </c>
      <c r="M250" s="109">
        <f t="shared" si="121"/>
        <v>400</v>
      </c>
      <c r="N250" s="133">
        <v>0</v>
      </c>
      <c r="O250" s="133"/>
      <c r="P250" s="133"/>
      <c r="Q250" s="109">
        <f t="shared" si="125"/>
        <v>0</v>
      </c>
      <c r="R250" s="117">
        <v>230</v>
      </c>
      <c r="S250" s="117">
        <v>0</v>
      </c>
      <c r="T250" s="117">
        <v>0</v>
      </c>
      <c r="U250" s="109">
        <f t="shared" si="130"/>
        <v>230</v>
      </c>
    </row>
    <row r="251" spans="1:21" ht="26.25" customHeight="1">
      <c r="A251" s="89" t="s">
        <v>132</v>
      </c>
      <c r="B251" s="42"/>
      <c r="C251" s="43"/>
      <c r="D251" s="44"/>
      <c r="E251" s="116">
        <f aca="true" t="shared" si="131" ref="E251:E264">I251+M251+Q251+U251</f>
        <v>168</v>
      </c>
      <c r="F251" s="116">
        <f aca="true" t="shared" si="132" ref="F251:H252">F252</f>
        <v>0</v>
      </c>
      <c r="G251" s="116">
        <f t="shared" si="132"/>
        <v>0</v>
      </c>
      <c r="H251" s="116">
        <f t="shared" si="132"/>
        <v>0</v>
      </c>
      <c r="I251" s="116">
        <f aca="true" t="shared" si="133" ref="I251:I264">SUM(F251:H251)</f>
        <v>0</v>
      </c>
      <c r="J251" s="158">
        <f aca="true" t="shared" si="134" ref="J251:L252">J252</f>
        <v>10</v>
      </c>
      <c r="K251" s="158">
        <f t="shared" si="134"/>
        <v>21.5</v>
      </c>
      <c r="L251" s="158">
        <f t="shared" si="134"/>
        <v>40</v>
      </c>
      <c r="M251" s="116">
        <f aca="true" t="shared" si="135" ref="M251:M264">SUM(J251:L251)</f>
        <v>71.5</v>
      </c>
      <c r="N251" s="158">
        <f aca="true" t="shared" si="136" ref="N251:P252">N252</f>
        <v>0</v>
      </c>
      <c r="O251" s="158">
        <f t="shared" si="136"/>
        <v>0</v>
      </c>
      <c r="P251" s="158">
        <f t="shared" si="136"/>
        <v>0</v>
      </c>
      <c r="Q251" s="116">
        <f t="shared" si="125"/>
        <v>0</v>
      </c>
      <c r="R251" s="116">
        <f aca="true" t="shared" si="137" ref="R251:T252">R252</f>
        <v>41.8</v>
      </c>
      <c r="S251" s="116">
        <f t="shared" si="137"/>
        <v>27.3</v>
      </c>
      <c r="T251" s="116">
        <f t="shared" si="137"/>
        <v>27.4</v>
      </c>
      <c r="U251" s="116">
        <f t="shared" si="130"/>
        <v>96.5</v>
      </c>
    </row>
    <row r="252" spans="1:21" ht="38.25" customHeight="1">
      <c r="A252" s="89" t="s">
        <v>203</v>
      </c>
      <c r="B252" s="39"/>
      <c r="C252" s="46"/>
      <c r="D252" s="47"/>
      <c r="E252" s="122">
        <f>I252+M252+Q252+U252</f>
        <v>168</v>
      </c>
      <c r="F252" s="118">
        <f>F253</f>
        <v>0</v>
      </c>
      <c r="G252" s="118">
        <f t="shared" si="132"/>
        <v>0</v>
      </c>
      <c r="H252" s="118">
        <f t="shared" si="132"/>
        <v>0</v>
      </c>
      <c r="I252" s="122">
        <f t="shared" si="133"/>
        <v>0</v>
      </c>
      <c r="J252" s="134">
        <f t="shared" si="134"/>
        <v>10</v>
      </c>
      <c r="K252" s="134">
        <f t="shared" si="134"/>
        <v>21.5</v>
      </c>
      <c r="L252" s="134">
        <f t="shared" si="134"/>
        <v>40</v>
      </c>
      <c r="M252" s="122">
        <f t="shared" si="135"/>
        <v>71.5</v>
      </c>
      <c r="N252" s="134">
        <f t="shared" si="136"/>
        <v>0</v>
      </c>
      <c r="O252" s="134">
        <f t="shared" si="136"/>
        <v>0</v>
      </c>
      <c r="P252" s="134">
        <f t="shared" si="136"/>
        <v>0</v>
      </c>
      <c r="Q252" s="122">
        <f t="shared" si="125"/>
        <v>0</v>
      </c>
      <c r="R252" s="118">
        <f t="shared" si="137"/>
        <v>41.8</v>
      </c>
      <c r="S252" s="118">
        <f t="shared" si="137"/>
        <v>27.3</v>
      </c>
      <c r="T252" s="118">
        <f t="shared" si="137"/>
        <v>27.4</v>
      </c>
      <c r="U252" s="122">
        <f t="shared" si="130"/>
        <v>96.5</v>
      </c>
    </row>
    <row r="253" spans="1:21" ht="41.25">
      <c r="A253" s="90" t="s">
        <v>204</v>
      </c>
      <c r="B253" s="49">
        <v>240</v>
      </c>
      <c r="C253" s="46"/>
      <c r="D253" s="47"/>
      <c r="E253" s="122">
        <f>I253+M253+Q253+U253</f>
        <v>168</v>
      </c>
      <c r="F253" s="118">
        <f>F255+F257+F256+F254</f>
        <v>0</v>
      </c>
      <c r="G253" s="118">
        <f>G255+G257+G256+G254</f>
        <v>0</v>
      </c>
      <c r="H253" s="118">
        <f>H255+H257+H256+H254</f>
        <v>0</v>
      </c>
      <c r="I253" s="122">
        <f>SUM(F253:H253)</f>
        <v>0</v>
      </c>
      <c r="J253" s="118">
        <f>J255+J257+J256+J254</f>
        <v>10</v>
      </c>
      <c r="K253" s="134">
        <f>K255+K257+K256+K254</f>
        <v>21.5</v>
      </c>
      <c r="L253" s="134">
        <f>L255+L257+L256+L254</f>
        <v>40</v>
      </c>
      <c r="M253" s="122">
        <f t="shared" si="135"/>
        <v>71.5</v>
      </c>
      <c r="N253" s="134">
        <f>N255+N257+N256+N254</f>
        <v>0</v>
      </c>
      <c r="O253" s="134">
        <f>O255+O257+O256+O254</f>
        <v>0</v>
      </c>
      <c r="P253" s="134">
        <f>P255+P257+P256+P254</f>
        <v>0</v>
      </c>
      <c r="Q253" s="122">
        <f t="shared" si="125"/>
        <v>0</v>
      </c>
      <c r="R253" s="118">
        <f>R255+R257+R256+R254</f>
        <v>41.8</v>
      </c>
      <c r="S253" s="118">
        <f>S255+S257+S256+S254</f>
        <v>27.3</v>
      </c>
      <c r="T253" s="118">
        <f>T255+T257+T256+T254</f>
        <v>27.4</v>
      </c>
      <c r="U253" s="122">
        <f t="shared" si="130"/>
        <v>96.5</v>
      </c>
    </row>
    <row r="254" spans="1:21" ht="12.75">
      <c r="A254" s="90" t="s">
        <v>240</v>
      </c>
      <c r="B254" s="49">
        <v>244</v>
      </c>
      <c r="C254" s="46" t="s">
        <v>99</v>
      </c>
      <c r="D254" s="47"/>
      <c r="E254" s="109">
        <f>I254+M254+Q254+U254</f>
        <v>12</v>
      </c>
      <c r="F254" s="117"/>
      <c r="G254" s="117"/>
      <c r="H254" s="117"/>
      <c r="I254" s="109">
        <f>SUM(F254:H254)</f>
        <v>0</v>
      </c>
      <c r="J254" s="133"/>
      <c r="K254" s="133">
        <v>12</v>
      </c>
      <c r="L254" s="133"/>
      <c r="M254" s="109">
        <f t="shared" si="135"/>
        <v>12</v>
      </c>
      <c r="N254" s="133"/>
      <c r="O254" s="133"/>
      <c r="P254" s="133"/>
      <c r="Q254" s="109">
        <f>SUM(N254:P254)</f>
        <v>0</v>
      </c>
      <c r="R254" s="117"/>
      <c r="S254" s="117"/>
      <c r="T254" s="117"/>
      <c r="U254" s="109">
        <f>SUM(R254:T254)</f>
        <v>0</v>
      </c>
    </row>
    <row r="255" spans="1:21" ht="12.75">
      <c r="A255" s="88" t="s">
        <v>133</v>
      </c>
      <c r="B255" s="39">
        <v>244</v>
      </c>
      <c r="C255" s="40" t="s">
        <v>107</v>
      </c>
      <c r="D255" s="41"/>
      <c r="E255" s="109">
        <f t="shared" si="131"/>
        <v>146.5</v>
      </c>
      <c r="F255" s="117">
        <v>0</v>
      </c>
      <c r="G255" s="117">
        <v>0</v>
      </c>
      <c r="H255" s="117">
        <v>0</v>
      </c>
      <c r="I255" s="109">
        <f t="shared" si="133"/>
        <v>0</v>
      </c>
      <c r="J255" s="133">
        <v>10</v>
      </c>
      <c r="K255" s="133"/>
      <c r="L255" s="133">
        <f>28.67+25.83-14.5</f>
        <v>40</v>
      </c>
      <c r="M255" s="109">
        <f t="shared" si="135"/>
        <v>50</v>
      </c>
      <c r="N255" s="133"/>
      <c r="O255" s="133"/>
      <c r="P255" s="133"/>
      <c r="Q255" s="109">
        <f t="shared" si="125"/>
        <v>0</v>
      </c>
      <c r="R255" s="117">
        <f>27.3+14.5</f>
        <v>41.8</v>
      </c>
      <c r="S255" s="117">
        <v>27.3</v>
      </c>
      <c r="T255" s="117">
        <v>27.4</v>
      </c>
      <c r="U255" s="109">
        <f t="shared" si="130"/>
        <v>96.5</v>
      </c>
    </row>
    <row r="256" spans="1:21" ht="12.75">
      <c r="A256" s="88" t="s">
        <v>265</v>
      </c>
      <c r="B256" s="39">
        <v>244</v>
      </c>
      <c r="C256" s="40" t="s">
        <v>109</v>
      </c>
      <c r="D256" s="41"/>
      <c r="E256" s="109">
        <f t="shared" si="131"/>
        <v>0</v>
      </c>
      <c r="F256" s="117"/>
      <c r="G256" s="117"/>
      <c r="H256" s="117"/>
      <c r="I256" s="109">
        <f t="shared" si="133"/>
        <v>0</v>
      </c>
      <c r="J256" s="133"/>
      <c r="K256" s="133"/>
      <c r="L256" s="133"/>
      <c r="M256" s="109">
        <f t="shared" si="135"/>
        <v>0</v>
      </c>
      <c r="N256" s="133"/>
      <c r="O256" s="133"/>
      <c r="P256" s="133"/>
      <c r="Q256" s="109">
        <f t="shared" si="125"/>
        <v>0</v>
      </c>
      <c r="R256" s="109"/>
      <c r="S256" s="109"/>
      <c r="T256" s="109"/>
      <c r="U256" s="109">
        <f t="shared" si="130"/>
        <v>0</v>
      </c>
    </row>
    <row r="257" spans="1:21" ht="15" customHeight="1">
      <c r="A257" s="88" t="s">
        <v>110</v>
      </c>
      <c r="B257" s="39">
        <v>244</v>
      </c>
      <c r="C257" s="40" t="s">
        <v>111</v>
      </c>
      <c r="D257" s="41"/>
      <c r="E257" s="109">
        <f>I257+M257+Q257+U257</f>
        <v>9.5</v>
      </c>
      <c r="F257" s="117"/>
      <c r="G257" s="117"/>
      <c r="H257" s="117"/>
      <c r="I257" s="109">
        <f>SUM(F257:H257)</f>
        <v>0</v>
      </c>
      <c r="J257" s="133"/>
      <c r="K257" s="133">
        <v>9.5</v>
      </c>
      <c r="L257" s="133"/>
      <c r="M257" s="109">
        <f t="shared" si="135"/>
        <v>9.5</v>
      </c>
      <c r="N257" s="133"/>
      <c r="O257" s="133"/>
      <c r="P257" s="133"/>
      <c r="Q257" s="109">
        <f>SUM(N257:P257)</f>
        <v>0</v>
      </c>
      <c r="R257" s="109"/>
      <c r="S257" s="109"/>
      <c r="T257" s="109"/>
      <c r="U257" s="109">
        <f>SUM(R257:T257)</f>
        <v>0</v>
      </c>
    </row>
    <row r="258" spans="1:21" ht="34.5" customHeight="1">
      <c r="A258" s="89" t="s">
        <v>205</v>
      </c>
      <c r="B258" s="42"/>
      <c r="C258" s="43"/>
      <c r="D258" s="44"/>
      <c r="E258" s="116">
        <f>I258+M258+Q258+U258</f>
        <v>17340.86</v>
      </c>
      <c r="F258" s="116">
        <f>F259+F261+F263+F276+F298+F265+F268+F317+F321+F274+F295+F315</f>
        <v>235.75701</v>
      </c>
      <c r="G258" s="116">
        <f>G259+G261+G263+G276+G298+G265+G268+G317+G321+G274+G295+G315</f>
        <v>1375.483</v>
      </c>
      <c r="H258" s="116">
        <f>H259+H261+H263+H276+H298+H265+H268+H317+H321+H274+H295+H315</f>
        <v>1686.4562300000002</v>
      </c>
      <c r="I258" s="116">
        <f t="shared" si="133"/>
        <v>3297.69624</v>
      </c>
      <c r="J258" s="116">
        <f>J259+J261+J263+J276+J298+J265+J268+J317+J321+J274+J295+J315</f>
        <v>1592.0024199999998</v>
      </c>
      <c r="K258" s="116">
        <f>K259+K261+K263+K276+K298+K265+K268+K317+K321+K274+K295+K315</f>
        <v>1486.41686</v>
      </c>
      <c r="L258" s="116">
        <f>L259+L261+L263+L276+L298+L265+L268+L317+L321+L274+L295+L315</f>
        <v>2503.57993</v>
      </c>
      <c r="M258" s="116">
        <f t="shared" si="135"/>
        <v>5581.99921</v>
      </c>
      <c r="N258" s="158">
        <f>N259+N261+N263+N276+N298+N265+N268+N317+N321+N274+N295+N315</f>
        <v>664.1539099999999</v>
      </c>
      <c r="O258" s="158">
        <f>O259+O261+O263+O276+O298+O265+O268+O317+O321+O274+O295+O315</f>
        <v>1101.6936699999999</v>
      </c>
      <c r="P258" s="158">
        <f>P259+P261+P263+P276+P298+P265+P268+P317+P321+P274+P295+P315</f>
        <v>2449.99043</v>
      </c>
      <c r="Q258" s="116">
        <f>SUM(N258:P258)</f>
        <v>4215.8380099999995</v>
      </c>
      <c r="R258" s="116">
        <f>R259+R261+R263+R276+R298+R265+R268+R317+R321+R274+R295+R315</f>
        <v>1439.4978</v>
      </c>
      <c r="S258" s="116">
        <f>S259+S261+S263+S276+S298+S265+S268+S317+S321+S274+S295+S315</f>
        <v>1252.3693400000002</v>
      </c>
      <c r="T258" s="116">
        <f>T259+T261+T263+T276+T298+T265+T268+T317+T321+T274+T295+T315</f>
        <v>1553.4594000000002</v>
      </c>
      <c r="U258" s="116">
        <f t="shared" si="130"/>
        <v>4245.32654</v>
      </c>
    </row>
    <row r="259" spans="1:21" ht="45" customHeight="1" hidden="1">
      <c r="A259" s="90" t="s">
        <v>206</v>
      </c>
      <c r="B259" s="45">
        <v>240</v>
      </c>
      <c r="C259" s="51"/>
      <c r="D259" s="48"/>
      <c r="E259" s="109">
        <f t="shared" si="131"/>
        <v>0</v>
      </c>
      <c r="F259" s="117">
        <f>F260</f>
        <v>0</v>
      </c>
      <c r="G259" s="117">
        <f>G260</f>
        <v>0</v>
      </c>
      <c r="H259" s="117">
        <f>H260</f>
        <v>0</v>
      </c>
      <c r="I259" s="109">
        <f>SUM(F259:H259)</f>
        <v>0</v>
      </c>
      <c r="J259" s="133">
        <f>J260</f>
        <v>0</v>
      </c>
      <c r="K259" s="133">
        <f>K260</f>
        <v>0</v>
      </c>
      <c r="L259" s="133">
        <f>L260</f>
        <v>0</v>
      </c>
      <c r="M259" s="109">
        <f t="shared" si="135"/>
        <v>0</v>
      </c>
      <c r="N259" s="133">
        <f>N260</f>
        <v>0</v>
      </c>
      <c r="O259" s="133">
        <f>O260</f>
        <v>0</v>
      </c>
      <c r="P259" s="133">
        <f>P260</f>
        <v>0</v>
      </c>
      <c r="Q259" s="109">
        <f aca="true" t="shared" si="138" ref="Q259:Q264">SUM(N259:P259)</f>
        <v>0</v>
      </c>
      <c r="R259" s="117">
        <f>R260</f>
        <v>0</v>
      </c>
      <c r="S259" s="117">
        <f>S260</f>
        <v>0</v>
      </c>
      <c r="T259" s="117">
        <f>T260</f>
        <v>0</v>
      </c>
      <c r="U259" s="109">
        <f aca="true" t="shared" si="139" ref="U259:U264">SUM(R259:T259)</f>
        <v>0</v>
      </c>
    </row>
    <row r="260" spans="1:21" ht="24.75" customHeight="1" hidden="1">
      <c r="A260" s="88" t="s">
        <v>207</v>
      </c>
      <c r="B260" s="39">
        <v>244</v>
      </c>
      <c r="C260" s="40" t="s">
        <v>109</v>
      </c>
      <c r="D260" s="44"/>
      <c r="E260" s="117">
        <f t="shared" si="131"/>
        <v>0</v>
      </c>
      <c r="F260" s="117"/>
      <c r="G260" s="117"/>
      <c r="H260" s="117"/>
      <c r="I260" s="109">
        <f t="shared" si="133"/>
        <v>0</v>
      </c>
      <c r="J260" s="133"/>
      <c r="K260" s="133"/>
      <c r="L260" s="133">
        <f>30-30</f>
        <v>0</v>
      </c>
      <c r="M260" s="109">
        <f t="shared" si="135"/>
        <v>0</v>
      </c>
      <c r="N260" s="133"/>
      <c r="O260" s="133"/>
      <c r="P260" s="133"/>
      <c r="Q260" s="109">
        <f t="shared" si="138"/>
        <v>0</v>
      </c>
      <c r="R260" s="117"/>
      <c r="S260" s="117"/>
      <c r="T260" s="117"/>
      <c r="U260" s="109">
        <f t="shared" si="139"/>
        <v>0</v>
      </c>
    </row>
    <row r="261" spans="1:21" ht="20.25" customHeight="1" hidden="1">
      <c r="A261" s="90" t="s">
        <v>208</v>
      </c>
      <c r="B261" s="45">
        <v>240</v>
      </c>
      <c r="C261" s="46"/>
      <c r="D261" s="44"/>
      <c r="E261" s="109">
        <f t="shared" si="131"/>
        <v>0</v>
      </c>
      <c r="F261" s="117">
        <f>F262</f>
        <v>0</v>
      </c>
      <c r="G261" s="117">
        <f>G262</f>
        <v>0</v>
      </c>
      <c r="H261" s="117">
        <f>H262</f>
        <v>0</v>
      </c>
      <c r="I261" s="109">
        <f t="shared" si="133"/>
        <v>0</v>
      </c>
      <c r="J261" s="133">
        <f>J262</f>
        <v>0</v>
      </c>
      <c r="K261" s="133">
        <f>K262</f>
        <v>0</v>
      </c>
      <c r="L261" s="133">
        <f>L262</f>
        <v>0</v>
      </c>
      <c r="M261" s="109">
        <f t="shared" si="135"/>
        <v>0</v>
      </c>
      <c r="N261" s="133">
        <f>N262</f>
        <v>0</v>
      </c>
      <c r="O261" s="133">
        <f>O262</f>
        <v>0</v>
      </c>
      <c r="P261" s="133">
        <f>P262</f>
        <v>0</v>
      </c>
      <c r="Q261" s="109">
        <f t="shared" si="138"/>
        <v>0</v>
      </c>
      <c r="R261" s="117">
        <f>R262</f>
        <v>0</v>
      </c>
      <c r="S261" s="117">
        <f>S262</f>
        <v>0</v>
      </c>
      <c r="T261" s="117">
        <f>T262</f>
        <v>0</v>
      </c>
      <c r="U261" s="109">
        <f t="shared" si="139"/>
        <v>0</v>
      </c>
    </row>
    <row r="262" spans="1:21" ht="24.75" customHeight="1" hidden="1">
      <c r="A262" s="88" t="s">
        <v>207</v>
      </c>
      <c r="B262" s="39">
        <v>244</v>
      </c>
      <c r="C262" s="40" t="s">
        <v>109</v>
      </c>
      <c r="D262" s="44"/>
      <c r="E262" s="117">
        <f t="shared" si="131"/>
        <v>0</v>
      </c>
      <c r="F262" s="117"/>
      <c r="G262" s="117"/>
      <c r="H262" s="117"/>
      <c r="I262" s="109">
        <f t="shared" si="133"/>
        <v>0</v>
      </c>
      <c r="J262" s="133"/>
      <c r="K262" s="133"/>
      <c r="L262" s="133">
        <f>20-20</f>
        <v>0</v>
      </c>
      <c r="M262" s="109">
        <f t="shared" si="135"/>
        <v>0</v>
      </c>
      <c r="N262" s="133"/>
      <c r="O262" s="133"/>
      <c r="P262" s="133"/>
      <c r="Q262" s="109">
        <f t="shared" si="138"/>
        <v>0</v>
      </c>
      <c r="R262" s="117"/>
      <c r="S262" s="117"/>
      <c r="T262" s="117"/>
      <c r="U262" s="109">
        <f t="shared" si="139"/>
        <v>0</v>
      </c>
    </row>
    <row r="263" spans="1:21" ht="31.5" customHeight="1" hidden="1">
      <c r="A263" s="90" t="s">
        <v>209</v>
      </c>
      <c r="B263" s="45">
        <v>240</v>
      </c>
      <c r="C263" s="43"/>
      <c r="D263" s="44"/>
      <c r="E263" s="109">
        <f t="shared" si="131"/>
        <v>0</v>
      </c>
      <c r="F263" s="117">
        <f>F264</f>
        <v>0</v>
      </c>
      <c r="G263" s="117">
        <f>G264</f>
        <v>0</v>
      </c>
      <c r="H263" s="117">
        <f>H264</f>
        <v>0</v>
      </c>
      <c r="I263" s="109">
        <f t="shared" si="133"/>
        <v>0</v>
      </c>
      <c r="J263" s="133">
        <f>J264</f>
        <v>0</v>
      </c>
      <c r="K263" s="133">
        <f>K264</f>
        <v>0</v>
      </c>
      <c r="L263" s="133">
        <f>L264</f>
        <v>0</v>
      </c>
      <c r="M263" s="109">
        <f t="shared" si="135"/>
        <v>0</v>
      </c>
      <c r="N263" s="133">
        <f>N264</f>
        <v>0</v>
      </c>
      <c r="O263" s="133">
        <f>O264</f>
        <v>0</v>
      </c>
      <c r="P263" s="133">
        <f>P264</f>
        <v>0</v>
      </c>
      <c r="Q263" s="109">
        <f t="shared" si="138"/>
        <v>0</v>
      </c>
      <c r="R263" s="117">
        <f>R264</f>
        <v>0</v>
      </c>
      <c r="S263" s="117">
        <f>S264</f>
        <v>0</v>
      </c>
      <c r="T263" s="117">
        <f>T264</f>
        <v>0</v>
      </c>
      <c r="U263" s="109">
        <f t="shared" si="139"/>
        <v>0</v>
      </c>
    </row>
    <row r="264" spans="1:21" ht="12.75" customHeight="1" hidden="1">
      <c r="A264" s="88" t="s">
        <v>210</v>
      </c>
      <c r="B264" s="39">
        <v>244</v>
      </c>
      <c r="C264" s="40" t="s">
        <v>103</v>
      </c>
      <c r="D264" s="44"/>
      <c r="E264" s="117">
        <f t="shared" si="131"/>
        <v>0</v>
      </c>
      <c r="F264" s="117"/>
      <c r="G264" s="117"/>
      <c r="H264" s="117"/>
      <c r="I264" s="109">
        <f t="shared" si="133"/>
        <v>0</v>
      </c>
      <c r="J264" s="133"/>
      <c r="K264" s="133"/>
      <c r="L264" s="133"/>
      <c r="M264" s="109">
        <f t="shared" si="135"/>
        <v>0</v>
      </c>
      <c r="N264" s="133"/>
      <c r="O264" s="133"/>
      <c r="P264" s="133"/>
      <c r="Q264" s="109">
        <f t="shared" si="138"/>
        <v>0</v>
      </c>
      <c r="R264" s="117"/>
      <c r="S264" s="117"/>
      <c r="T264" s="117"/>
      <c r="U264" s="109">
        <f t="shared" si="139"/>
        <v>0</v>
      </c>
    </row>
    <row r="265" spans="1:21" ht="23.25" customHeight="1" hidden="1">
      <c r="A265" s="90" t="s">
        <v>228</v>
      </c>
      <c r="B265" s="45">
        <v>240</v>
      </c>
      <c r="C265" s="43"/>
      <c r="D265" s="44"/>
      <c r="E265" s="109">
        <f>I265+M265+Q265+U265</f>
        <v>0</v>
      </c>
      <c r="F265" s="117">
        <f>F266+F267</f>
        <v>0</v>
      </c>
      <c r="G265" s="117">
        <f>G266+G267</f>
        <v>0</v>
      </c>
      <c r="H265" s="117">
        <f>H266+H267</f>
        <v>0</v>
      </c>
      <c r="I265" s="109">
        <f aca="true" t="shared" si="140" ref="I265:I272">SUM(F265:H265)</f>
        <v>0</v>
      </c>
      <c r="J265" s="133">
        <f>J266+J267</f>
        <v>0</v>
      </c>
      <c r="K265" s="133">
        <f>K266+K267</f>
        <v>0</v>
      </c>
      <c r="L265" s="133">
        <f>L266+L267</f>
        <v>0</v>
      </c>
      <c r="M265" s="109">
        <f aca="true" t="shared" si="141" ref="M265:M272">SUM(J265:L265)</f>
        <v>0</v>
      </c>
      <c r="N265" s="133">
        <f>N266+N267</f>
        <v>0</v>
      </c>
      <c r="O265" s="133">
        <f>O266+O267</f>
        <v>0</v>
      </c>
      <c r="P265" s="133">
        <f>P266+P267</f>
        <v>0</v>
      </c>
      <c r="Q265" s="109">
        <f aca="true" t="shared" si="142" ref="Q265:Q272">SUM(N265:P265)</f>
        <v>0</v>
      </c>
      <c r="R265" s="117">
        <f>R266+R267</f>
        <v>0</v>
      </c>
      <c r="S265" s="117">
        <f>S266+S267</f>
        <v>0</v>
      </c>
      <c r="T265" s="117">
        <f>T266+T267</f>
        <v>0</v>
      </c>
      <c r="U265" s="109">
        <f aca="true" t="shared" si="143" ref="U265:U272">SUM(R265:T265)</f>
        <v>0</v>
      </c>
    </row>
    <row r="266" spans="1:21" ht="12.75" customHeight="1" hidden="1">
      <c r="A266" s="88" t="s">
        <v>210</v>
      </c>
      <c r="B266" s="39">
        <v>244</v>
      </c>
      <c r="C266" s="40" t="s">
        <v>103</v>
      </c>
      <c r="D266" s="44"/>
      <c r="E266" s="117">
        <f aca="true" t="shared" si="144" ref="E266:E278">I266+M266+Q266+U266</f>
        <v>0</v>
      </c>
      <c r="F266" s="117">
        <v>0</v>
      </c>
      <c r="G266" s="117">
        <v>0</v>
      </c>
      <c r="H266" s="117">
        <v>0</v>
      </c>
      <c r="I266" s="109">
        <f t="shared" si="140"/>
        <v>0</v>
      </c>
      <c r="J266" s="133">
        <v>0</v>
      </c>
      <c r="K266" s="133">
        <v>0</v>
      </c>
      <c r="L266" s="133">
        <v>0</v>
      </c>
      <c r="M266" s="109">
        <f t="shared" si="141"/>
        <v>0</v>
      </c>
      <c r="N266" s="133">
        <v>0</v>
      </c>
      <c r="O266" s="133">
        <v>0</v>
      </c>
      <c r="P266" s="133">
        <v>0</v>
      </c>
      <c r="Q266" s="109">
        <f t="shared" si="142"/>
        <v>0</v>
      </c>
      <c r="R266" s="117"/>
      <c r="S266" s="117">
        <v>0</v>
      </c>
      <c r="T266" s="117">
        <v>0</v>
      </c>
      <c r="U266" s="109">
        <f t="shared" si="143"/>
        <v>0</v>
      </c>
    </row>
    <row r="267" spans="1:21" ht="12.75" customHeight="1" hidden="1">
      <c r="A267" s="88" t="s">
        <v>104</v>
      </c>
      <c r="B267" s="39">
        <v>244</v>
      </c>
      <c r="C267" s="40" t="s">
        <v>105</v>
      </c>
      <c r="D267" s="44"/>
      <c r="E267" s="117">
        <f>I267+M267+Q267+U267</f>
        <v>0</v>
      </c>
      <c r="F267" s="117"/>
      <c r="G267" s="117"/>
      <c r="H267" s="117"/>
      <c r="I267" s="109">
        <f t="shared" si="140"/>
        <v>0</v>
      </c>
      <c r="J267" s="133"/>
      <c r="K267" s="133"/>
      <c r="L267" s="133"/>
      <c r="M267" s="109">
        <f t="shared" si="141"/>
        <v>0</v>
      </c>
      <c r="N267" s="133"/>
      <c r="O267" s="133"/>
      <c r="P267" s="133"/>
      <c r="Q267" s="109">
        <f t="shared" si="142"/>
        <v>0</v>
      </c>
      <c r="R267" s="117"/>
      <c r="S267" s="117"/>
      <c r="T267" s="117"/>
      <c r="U267" s="109">
        <f t="shared" si="143"/>
        <v>0</v>
      </c>
    </row>
    <row r="268" spans="1:21" ht="42" customHeight="1">
      <c r="A268" s="90" t="s">
        <v>217</v>
      </c>
      <c r="B268" s="45">
        <v>240</v>
      </c>
      <c r="C268" s="43"/>
      <c r="D268" s="44"/>
      <c r="E268" s="109">
        <f t="shared" si="144"/>
        <v>220</v>
      </c>
      <c r="F268" s="117">
        <f>F271+F272+F273+F269+F270</f>
        <v>0</v>
      </c>
      <c r="G268" s="117">
        <f>G271+G272+G273+G269+G270</f>
        <v>31</v>
      </c>
      <c r="H268" s="117">
        <f>H271+H272+H273+H269+H270</f>
        <v>12.31456</v>
      </c>
      <c r="I268" s="109">
        <f t="shared" si="140"/>
        <v>43.31456</v>
      </c>
      <c r="J268" s="117">
        <f>J271+J272+J273+J269+J270</f>
        <v>0</v>
      </c>
      <c r="K268" s="117">
        <f>K271+K272+K273+K269+K270</f>
        <v>70</v>
      </c>
      <c r="L268" s="133">
        <f>L271+L272+L273+L269+L270</f>
        <v>0</v>
      </c>
      <c r="M268" s="109">
        <f t="shared" si="141"/>
        <v>70</v>
      </c>
      <c r="N268" s="133">
        <f>N271+N272+N273+N269+N270</f>
        <v>0</v>
      </c>
      <c r="O268" s="133">
        <f>O271+O272+O273+O269+O270</f>
        <v>0</v>
      </c>
      <c r="P268" s="133">
        <f>P271+P272+P273+P269+P270</f>
        <v>23</v>
      </c>
      <c r="Q268" s="109">
        <f t="shared" si="142"/>
        <v>23</v>
      </c>
      <c r="R268" s="117">
        <f>R271+R272+R273+R269+R270</f>
        <v>19.345439999999996</v>
      </c>
      <c r="S268" s="117">
        <f>S271+S272+S273+S269+S270</f>
        <v>32.17</v>
      </c>
      <c r="T268" s="117">
        <f>T271+T272+T273+T269+T270</f>
        <v>32.17</v>
      </c>
      <c r="U268" s="109">
        <f t="shared" si="143"/>
        <v>83.68544</v>
      </c>
    </row>
    <row r="269" spans="1:21" ht="19.5" customHeight="1">
      <c r="A269" s="90" t="s">
        <v>240</v>
      </c>
      <c r="B269" s="45">
        <v>244</v>
      </c>
      <c r="C269" s="40" t="s">
        <v>99</v>
      </c>
      <c r="D269" s="44"/>
      <c r="E269" s="117">
        <f>I269+M269+Q269+U269</f>
        <v>9</v>
      </c>
      <c r="F269" s="117"/>
      <c r="G269" s="117"/>
      <c r="H269" s="117">
        <v>0</v>
      </c>
      <c r="I269" s="109">
        <f>SUM(F269:H269)</f>
        <v>0</v>
      </c>
      <c r="J269" s="133"/>
      <c r="K269" s="133">
        <v>9</v>
      </c>
      <c r="L269" s="133"/>
      <c r="M269" s="109">
        <f>SUM(J269:L269)</f>
        <v>9</v>
      </c>
      <c r="N269" s="133"/>
      <c r="O269" s="133"/>
      <c r="P269" s="133"/>
      <c r="Q269" s="109">
        <f>SUM(N269:P269)</f>
        <v>0</v>
      </c>
      <c r="R269" s="117"/>
      <c r="S269" s="117"/>
      <c r="T269" s="117"/>
      <c r="U269" s="109">
        <f>SUM(R269:T269)</f>
        <v>0</v>
      </c>
    </row>
    <row r="270" spans="1:21" ht="19.5" customHeight="1">
      <c r="A270" s="90" t="s">
        <v>147</v>
      </c>
      <c r="B270" s="45">
        <v>244</v>
      </c>
      <c r="C270" s="40" t="s">
        <v>105</v>
      </c>
      <c r="D270" s="44"/>
      <c r="E270" s="117">
        <f>I270+M270+Q270+U270</f>
        <v>61</v>
      </c>
      <c r="F270" s="117"/>
      <c r="G270" s="117"/>
      <c r="H270" s="117"/>
      <c r="I270" s="109">
        <f>SUM(F270:H270)</f>
        <v>0</v>
      </c>
      <c r="J270" s="133"/>
      <c r="K270" s="133">
        <v>61</v>
      </c>
      <c r="L270" s="133"/>
      <c r="M270" s="109">
        <f>SUM(J270:L270)</f>
        <v>61</v>
      </c>
      <c r="N270" s="133"/>
      <c r="O270" s="133"/>
      <c r="P270" s="133"/>
      <c r="Q270" s="109">
        <f>SUM(N270:P270)</f>
        <v>0</v>
      </c>
      <c r="R270" s="117"/>
      <c r="S270" s="117"/>
      <c r="T270" s="117"/>
      <c r="U270" s="109">
        <f>SUM(R270:T270)</f>
        <v>0</v>
      </c>
    </row>
    <row r="271" spans="1:21" ht="12.75" customHeight="1">
      <c r="A271" s="88" t="s">
        <v>133</v>
      </c>
      <c r="B271" s="39">
        <v>244</v>
      </c>
      <c r="C271" s="40" t="s">
        <v>107</v>
      </c>
      <c r="D271" s="44"/>
      <c r="E271" s="117">
        <f t="shared" si="144"/>
        <v>140</v>
      </c>
      <c r="F271" s="117">
        <v>0</v>
      </c>
      <c r="G271" s="117">
        <v>28</v>
      </c>
      <c r="H271" s="117">
        <f>17.25-4.93544</f>
        <v>12.31456</v>
      </c>
      <c r="I271" s="109">
        <f t="shared" si="140"/>
        <v>40.31456</v>
      </c>
      <c r="J271" s="133"/>
      <c r="K271" s="133"/>
      <c r="L271" s="133">
        <f>9-9</f>
        <v>0</v>
      </c>
      <c r="M271" s="109">
        <f t="shared" si="141"/>
        <v>0</v>
      </c>
      <c r="N271" s="133"/>
      <c r="O271" s="133"/>
      <c r="P271" s="133">
        <v>16</v>
      </c>
      <c r="Q271" s="109">
        <f t="shared" si="142"/>
        <v>16</v>
      </c>
      <c r="R271" s="117">
        <f>32.16-7.81456-9+4</f>
        <v>19.345439999999996</v>
      </c>
      <c r="S271" s="117">
        <f>32.17</f>
        <v>32.17</v>
      </c>
      <c r="T271" s="117">
        <f>32.17</f>
        <v>32.17</v>
      </c>
      <c r="U271" s="109">
        <f t="shared" si="143"/>
        <v>83.68544</v>
      </c>
    </row>
    <row r="272" spans="1:21" ht="21" customHeight="1" hidden="1">
      <c r="A272" s="88" t="s">
        <v>207</v>
      </c>
      <c r="B272" s="55">
        <v>244</v>
      </c>
      <c r="C272" s="56" t="s">
        <v>109</v>
      </c>
      <c r="D272" s="53"/>
      <c r="E272" s="117">
        <f t="shared" si="144"/>
        <v>0</v>
      </c>
      <c r="F272" s="117"/>
      <c r="G272" s="117"/>
      <c r="H272" s="117">
        <v>0</v>
      </c>
      <c r="I272" s="109">
        <f t="shared" si="140"/>
        <v>0</v>
      </c>
      <c r="J272" s="133"/>
      <c r="K272" s="133"/>
      <c r="L272" s="133"/>
      <c r="M272" s="109">
        <f t="shared" si="141"/>
        <v>0</v>
      </c>
      <c r="N272" s="133"/>
      <c r="O272" s="133"/>
      <c r="P272" s="133"/>
      <c r="Q272" s="109">
        <f t="shared" si="142"/>
        <v>0</v>
      </c>
      <c r="R272" s="117"/>
      <c r="S272" s="117"/>
      <c r="T272" s="117"/>
      <c r="U272" s="109">
        <f t="shared" si="143"/>
        <v>0</v>
      </c>
    </row>
    <row r="273" spans="1:21" ht="21" customHeight="1">
      <c r="A273" s="88" t="s">
        <v>116</v>
      </c>
      <c r="B273" s="55">
        <v>244</v>
      </c>
      <c r="C273" s="56" t="s">
        <v>111</v>
      </c>
      <c r="D273" s="53"/>
      <c r="E273" s="117">
        <f>I273+M273+Q273+U273</f>
        <v>10</v>
      </c>
      <c r="F273" s="117"/>
      <c r="G273" s="117">
        <v>3</v>
      </c>
      <c r="H273" s="117">
        <v>0</v>
      </c>
      <c r="I273" s="109">
        <f>SUM(F273:H273)</f>
        <v>3</v>
      </c>
      <c r="J273" s="133"/>
      <c r="K273" s="133"/>
      <c r="L273" s="133"/>
      <c r="M273" s="109">
        <f>SUM(J273:L273)</f>
        <v>0</v>
      </c>
      <c r="N273" s="133"/>
      <c r="O273" s="133"/>
      <c r="P273" s="133">
        <v>7</v>
      </c>
      <c r="Q273" s="109">
        <f>SUM(N273:P273)</f>
        <v>7</v>
      </c>
      <c r="R273" s="109"/>
      <c r="S273" s="109"/>
      <c r="T273" s="109"/>
      <c r="U273" s="109">
        <f>SUM(R273:T273)</f>
        <v>0</v>
      </c>
    </row>
    <row r="274" spans="1:21" ht="57" customHeight="1" hidden="1">
      <c r="A274" s="99" t="s">
        <v>289</v>
      </c>
      <c r="B274" s="105" t="s">
        <v>288</v>
      </c>
      <c r="C274" s="105"/>
      <c r="D274" s="53"/>
      <c r="E274" s="109">
        <f>I274+M274+Q274+U274</f>
        <v>0</v>
      </c>
      <c r="F274" s="117">
        <f>F275</f>
        <v>0</v>
      </c>
      <c r="G274" s="117">
        <f>G275</f>
        <v>0</v>
      </c>
      <c r="H274" s="117">
        <f>H275</f>
        <v>0</v>
      </c>
      <c r="I274" s="109">
        <f>SUM(F274:H274)</f>
        <v>0</v>
      </c>
      <c r="J274" s="133">
        <f>J275</f>
        <v>0</v>
      </c>
      <c r="K274" s="133">
        <f>K275</f>
        <v>0</v>
      </c>
      <c r="L274" s="133">
        <f>L275</f>
        <v>0</v>
      </c>
      <c r="M274" s="109">
        <f>SUM(J274:L274)</f>
        <v>0</v>
      </c>
      <c r="N274" s="133">
        <f>N275</f>
        <v>0</v>
      </c>
      <c r="O274" s="133">
        <f>O275</f>
        <v>0</v>
      </c>
      <c r="P274" s="133">
        <f>P275</f>
        <v>0</v>
      </c>
      <c r="Q274" s="109">
        <f>SUM(N274:P274)</f>
        <v>0</v>
      </c>
      <c r="R274" s="117">
        <f>R275</f>
        <v>0</v>
      </c>
      <c r="S274" s="117">
        <f>S275</f>
        <v>0</v>
      </c>
      <c r="T274" s="117">
        <f>T275</f>
        <v>0</v>
      </c>
      <c r="U274" s="109">
        <f>SUM(R274:T274)</f>
        <v>0</v>
      </c>
    </row>
    <row r="275" spans="1:21" ht="25.5" customHeight="1" hidden="1">
      <c r="A275" s="103" t="s">
        <v>265</v>
      </c>
      <c r="B275" s="105" t="s">
        <v>278</v>
      </c>
      <c r="C275" s="105" t="s">
        <v>109</v>
      </c>
      <c r="D275" s="53"/>
      <c r="E275" s="117">
        <f>I275+M275+Q275+U275</f>
        <v>0</v>
      </c>
      <c r="F275" s="117">
        <v>0</v>
      </c>
      <c r="G275" s="117">
        <v>0</v>
      </c>
      <c r="H275" s="117">
        <v>0</v>
      </c>
      <c r="I275" s="109">
        <f>SUM(F275:H275)</f>
        <v>0</v>
      </c>
      <c r="J275" s="133"/>
      <c r="K275" s="133">
        <v>0</v>
      </c>
      <c r="L275" s="133">
        <v>0</v>
      </c>
      <c r="M275" s="109">
        <f>SUM(J275:L275)</f>
        <v>0</v>
      </c>
      <c r="N275" s="133">
        <v>0</v>
      </c>
      <c r="O275" s="133">
        <v>0</v>
      </c>
      <c r="P275" s="133">
        <v>0</v>
      </c>
      <c r="Q275" s="109">
        <f>SUM(N275:P275)</f>
        <v>0</v>
      </c>
      <c r="R275" s="117">
        <v>0</v>
      </c>
      <c r="S275" s="117">
        <v>0</v>
      </c>
      <c r="T275" s="117">
        <v>0</v>
      </c>
      <c r="U275" s="109">
        <f>SUM(R275:T275)</f>
        <v>0</v>
      </c>
    </row>
    <row r="276" spans="1:21" ht="69" customHeight="1">
      <c r="A276" s="90" t="s">
        <v>211</v>
      </c>
      <c r="B276" s="57">
        <v>611</v>
      </c>
      <c r="C276" s="56" t="s">
        <v>212</v>
      </c>
      <c r="D276" s="52"/>
      <c r="E276" s="122">
        <f t="shared" si="144"/>
        <v>9733.4</v>
      </c>
      <c r="F276" s="118">
        <f>F277+F279+F280+F282+F286+F289+F290+F291</f>
        <v>205.47321</v>
      </c>
      <c r="G276" s="118">
        <f>G277+G279+G280+G282+G286+G289+G290+G291</f>
        <v>772.0887099999999</v>
      </c>
      <c r="H276" s="118">
        <f>H277+H279+H280+H282+H286+H289+H290+H291</f>
        <v>1112.1217700000002</v>
      </c>
      <c r="I276" s="122">
        <f>F276+G276+H276</f>
        <v>2089.68369</v>
      </c>
      <c r="J276" s="118">
        <f>J277+J279+J280+J282+J286+J289+J290+J291</f>
        <v>983.7254599999999</v>
      </c>
      <c r="K276" s="118">
        <f>K277+K279+K280+K282+K286+K289+K290+K291</f>
        <v>769.3654700000001</v>
      </c>
      <c r="L276" s="134">
        <f>L277+L279+L280+L282+L286+L289+L290+L291</f>
        <v>1476.88132</v>
      </c>
      <c r="M276" s="122">
        <f>J276+K276+L276</f>
        <v>3229.97225</v>
      </c>
      <c r="N276" s="134">
        <f>N277+N279+N280+N282+N286+N289+N290+N291</f>
        <v>619.2093299999999</v>
      </c>
      <c r="O276" s="134">
        <f>O277+O279+O280+O282+O286+O289+O290+O291</f>
        <v>417.5963</v>
      </c>
      <c r="P276" s="134">
        <f>P277+P279+P280+P282+P286+P289+P290+P291</f>
        <v>1335.07294</v>
      </c>
      <c r="Q276" s="122">
        <f>N276+O276+P276</f>
        <v>2371.87857</v>
      </c>
      <c r="R276" s="118">
        <f>R277+R279+R280+R282+R286+R289+R290+R291</f>
        <v>370.9988000000001</v>
      </c>
      <c r="S276" s="118">
        <f>S277+S279+S280+S282+S286+S289+S290+S291</f>
        <v>711.2774900000001</v>
      </c>
      <c r="T276" s="118">
        <f>T277+T279+T280+T282+T286+T289+T290+T291</f>
        <v>959.5892000000001</v>
      </c>
      <c r="U276" s="122">
        <f>R276+S276+T276</f>
        <v>2041.8654900000004</v>
      </c>
    </row>
    <row r="277" spans="1:21" ht="12.75">
      <c r="A277" s="88" t="s">
        <v>90</v>
      </c>
      <c r="B277" s="55">
        <v>611</v>
      </c>
      <c r="C277" s="56" t="s">
        <v>150</v>
      </c>
      <c r="D277" s="52"/>
      <c r="E277" s="117">
        <f t="shared" si="144"/>
        <v>6095.8</v>
      </c>
      <c r="F277" s="117">
        <v>114.0247</v>
      </c>
      <c r="G277" s="117">
        <v>405.8605</v>
      </c>
      <c r="H277" s="117">
        <f>847.7448-151.50294</f>
        <v>696.2418600000001</v>
      </c>
      <c r="I277" s="109">
        <f>SUM(F277:H277)</f>
        <v>1216.12706</v>
      </c>
      <c r="J277" s="133">
        <f>592.71462+8.256</f>
        <v>600.9706199999999</v>
      </c>
      <c r="K277" s="133">
        <v>474.64441</v>
      </c>
      <c r="L277" s="133">
        <f>497.67+79.47391-8.256+465.23205</f>
        <v>1034.11996</v>
      </c>
      <c r="M277" s="109">
        <f>SUM(J277:L277)</f>
        <v>2109.73499</v>
      </c>
      <c r="N277" s="133">
        <v>489.28893</v>
      </c>
      <c r="O277" s="133">
        <v>234.4077</v>
      </c>
      <c r="P277" s="133">
        <v>936.92814</v>
      </c>
      <c r="Q277" s="109">
        <f>SUM(N277:P277)</f>
        <v>1660.62477</v>
      </c>
      <c r="R277" s="117">
        <f>580.72-456.86098</f>
        <v>123.85902000000004</v>
      </c>
      <c r="S277" s="117">
        <f>580.72-175.99584</f>
        <v>404.72416000000004</v>
      </c>
      <c r="T277" s="117">
        <v>580.73</v>
      </c>
      <c r="U277" s="109">
        <f>SUM(R277:T277)</f>
        <v>1109.31318</v>
      </c>
    </row>
    <row r="278" spans="1:21" ht="12.75">
      <c r="A278" s="88" t="s">
        <v>92</v>
      </c>
      <c r="B278" s="55">
        <v>611</v>
      </c>
      <c r="C278" s="56" t="s">
        <v>151</v>
      </c>
      <c r="D278" s="52"/>
      <c r="E278" s="117">
        <f t="shared" si="144"/>
        <v>0</v>
      </c>
      <c r="F278" s="117"/>
      <c r="G278" s="117"/>
      <c r="H278" s="117"/>
      <c r="I278" s="109">
        <f>SUM(F278:H278)</f>
        <v>0</v>
      </c>
      <c r="J278" s="133"/>
      <c r="K278" s="133"/>
      <c r="L278" s="133"/>
      <c r="M278" s="109">
        <f>SUM(J278:L278)</f>
        <v>0</v>
      </c>
      <c r="N278" s="133"/>
      <c r="O278" s="133"/>
      <c r="P278" s="133"/>
      <c r="Q278" s="109">
        <f>SUM(N278:P278)</f>
        <v>0</v>
      </c>
      <c r="R278" s="117"/>
      <c r="S278" s="117"/>
      <c r="T278" s="117"/>
      <c r="U278" s="109">
        <f>SUM(R278:T278)</f>
        <v>0</v>
      </c>
    </row>
    <row r="279" spans="1:21" ht="12.75">
      <c r="A279" s="88" t="s">
        <v>94</v>
      </c>
      <c r="B279" s="55">
        <v>611</v>
      </c>
      <c r="C279" s="56" t="s">
        <v>152</v>
      </c>
      <c r="D279" s="52"/>
      <c r="E279" s="117">
        <f>I279+M279+Q279+U279</f>
        <v>1840.9300000000003</v>
      </c>
      <c r="F279" s="117">
        <v>0</v>
      </c>
      <c r="G279" s="117">
        <v>129.06224</v>
      </c>
      <c r="H279" s="117">
        <f>208.80776-4.90205</f>
        <v>203.90571</v>
      </c>
      <c r="I279" s="109">
        <f>SUM(F279:H279)</f>
        <v>332.96795</v>
      </c>
      <c r="J279" s="133">
        <f>170.81009-8.256</f>
        <v>162.55409</v>
      </c>
      <c r="K279" s="133">
        <v>144.98255</v>
      </c>
      <c r="L279" s="133">
        <f>150.3-10.29059+8.256+201.69229</f>
        <v>349.95770000000005</v>
      </c>
      <c r="M279" s="109">
        <f>SUM(J279:L279)</f>
        <v>657.4943400000001</v>
      </c>
      <c r="N279" s="133"/>
      <c r="O279" s="133">
        <v>148.9358</v>
      </c>
      <c r="P279" s="133">
        <v>362.81428</v>
      </c>
      <c r="Q279" s="109">
        <f>SUM(N279:P279)</f>
        <v>511.75008</v>
      </c>
      <c r="R279" s="117">
        <f>200.42-200.42</f>
        <v>0</v>
      </c>
      <c r="S279" s="117">
        <f>200.42-62.12237</f>
        <v>138.29763</v>
      </c>
      <c r="T279" s="117">
        <v>200.42</v>
      </c>
      <c r="U279" s="109">
        <f>SUM(R279:T279)</f>
        <v>338.71763</v>
      </c>
    </row>
    <row r="280" spans="1:21" ht="12.75">
      <c r="A280" s="88" t="s">
        <v>96</v>
      </c>
      <c r="B280" s="55">
        <v>611</v>
      </c>
      <c r="C280" s="56" t="s">
        <v>153</v>
      </c>
      <c r="D280" s="52"/>
      <c r="E280" s="117">
        <f>I280+M280+Q280+U280</f>
        <v>65.80000000000001</v>
      </c>
      <c r="F280" s="117">
        <v>0.44165</v>
      </c>
      <c r="G280" s="117">
        <v>1.7</v>
      </c>
      <c r="H280" s="117">
        <f>12.33835-10.83835</f>
        <v>1.5</v>
      </c>
      <c r="I280" s="109">
        <f>SUM(F280:H280)</f>
        <v>3.64165</v>
      </c>
      <c r="J280" s="133">
        <v>1.2</v>
      </c>
      <c r="K280" s="133">
        <v>1.2</v>
      </c>
      <c r="L280" s="133">
        <f>5.71+19.83835-24.34835</f>
        <v>1.1999999999999993</v>
      </c>
      <c r="M280" s="109">
        <f>SUM(J280:L280)</f>
        <v>3.599999999999999</v>
      </c>
      <c r="N280" s="133">
        <v>1.4</v>
      </c>
      <c r="O280" s="133">
        <v>1.4</v>
      </c>
      <c r="P280" s="133">
        <v>1.5</v>
      </c>
      <c r="Q280" s="109">
        <f>SUM(N280:P280)</f>
        <v>4.3</v>
      </c>
      <c r="R280" s="117">
        <f>5.7+28.64835+8.51</f>
        <v>42.85835</v>
      </c>
      <c r="S280" s="117">
        <v>5.7</v>
      </c>
      <c r="T280" s="117">
        <v>5.7</v>
      </c>
      <c r="U280" s="109">
        <f>SUM(R280:T280)</f>
        <v>54.25835000000001</v>
      </c>
    </row>
    <row r="281" spans="1:21" ht="12.75">
      <c r="A281" s="88" t="s">
        <v>98</v>
      </c>
      <c r="B281" s="55">
        <v>611</v>
      </c>
      <c r="C281" s="56" t="s">
        <v>154</v>
      </c>
      <c r="D281" s="52"/>
      <c r="E281" s="117"/>
      <c r="F281" s="117"/>
      <c r="G281" s="117"/>
      <c r="H281" s="117"/>
      <c r="I281" s="109"/>
      <c r="J281" s="133"/>
      <c r="K281" s="133"/>
      <c r="L281" s="133"/>
      <c r="M281" s="109"/>
      <c r="N281" s="133"/>
      <c r="O281" s="133"/>
      <c r="P281" s="133"/>
      <c r="Q281" s="109"/>
      <c r="R281" s="117"/>
      <c r="S281" s="117"/>
      <c r="T281" s="117"/>
      <c r="U281" s="109"/>
    </row>
    <row r="282" spans="1:21" ht="12.75">
      <c r="A282" s="88" t="s">
        <v>100</v>
      </c>
      <c r="B282" s="55">
        <v>611</v>
      </c>
      <c r="C282" s="56" t="s">
        <v>155</v>
      </c>
      <c r="D282" s="52"/>
      <c r="E282" s="117">
        <f aca="true" t="shared" si="145" ref="E282:E289">I282+M282+Q282+U282</f>
        <v>1305.1</v>
      </c>
      <c r="F282" s="117">
        <f aca="true" t="shared" si="146" ref="F282:L282">SUM(F283:F285)</f>
        <v>33.86386</v>
      </c>
      <c r="G282" s="117">
        <f t="shared" si="146"/>
        <v>220.01966999999996</v>
      </c>
      <c r="H282" s="117">
        <f t="shared" si="146"/>
        <v>195.0279</v>
      </c>
      <c r="I282" s="109">
        <f t="shared" si="146"/>
        <v>448.91142999999994</v>
      </c>
      <c r="J282" s="133">
        <f t="shared" si="146"/>
        <v>146.29044999999996</v>
      </c>
      <c r="K282" s="133">
        <f t="shared" si="146"/>
        <v>133.09221</v>
      </c>
      <c r="L282" s="133">
        <f t="shared" si="146"/>
        <v>18.89336</v>
      </c>
      <c r="M282" s="109">
        <f aca="true" t="shared" si="147" ref="M282:M289">SUM(J282:L282)</f>
        <v>298.27602</v>
      </c>
      <c r="N282" s="133">
        <f>SUM(N283:N285)</f>
        <v>113.0741</v>
      </c>
      <c r="O282" s="133">
        <f>SUM(O283:O285)</f>
        <v>13.379430000000001</v>
      </c>
      <c r="P282" s="133">
        <f>SUM(P283:P285)</f>
        <v>18.38422</v>
      </c>
      <c r="Q282" s="109">
        <f>SUM(N282:P282)</f>
        <v>144.83775</v>
      </c>
      <c r="R282" s="117">
        <f>SUM(R283:R285)</f>
        <v>155.70479999999998</v>
      </c>
      <c r="S282" s="117">
        <f>SUM(S283:S285)</f>
        <v>128.67499999999998</v>
      </c>
      <c r="T282" s="117">
        <f>SUM(T283:T285)</f>
        <v>128.695</v>
      </c>
      <c r="U282" s="109">
        <f aca="true" t="shared" si="148" ref="U282:U290">SUM(R282:T282)</f>
        <v>413.0747999999999</v>
      </c>
    </row>
    <row r="283" spans="1:21" ht="12.75">
      <c r="A283" s="88" t="s">
        <v>117</v>
      </c>
      <c r="B283" s="55">
        <v>611</v>
      </c>
      <c r="C283" s="56" t="s">
        <v>155</v>
      </c>
      <c r="D283" s="52"/>
      <c r="E283" s="117">
        <f t="shared" si="145"/>
        <v>914.8</v>
      </c>
      <c r="F283" s="117">
        <v>0</v>
      </c>
      <c r="G283" s="117">
        <v>172.60214</v>
      </c>
      <c r="H283" s="117">
        <f>193.39786-38.96288</f>
        <v>154.43498</v>
      </c>
      <c r="I283" s="109">
        <f aca="true" t="shared" si="149" ref="I283:I291">SUM(F283:H283)</f>
        <v>327.03711999999996</v>
      </c>
      <c r="J283" s="133">
        <v>136.26581</v>
      </c>
      <c r="K283" s="133">
        <v>81.7603</v>
      </c>
      <c r="L283" s="133">
        <f>73.34-32.40323-40.93677</f>
        <v>0</v>
      </c>
      <c r="M283" s="109">
        <f t="shared" si="147"/>
        <v>218.02611</v>
      </c>
      <c r="N283" s="133">
        <v>99.99222</v>
      </c>
      <c r="O283" s="133">
        <v>0</v>
      </c>
      <c r="P283" s="133">
        <v>0</v>
      </c>
      <c r="Q283" s="109">
        <f>SUM(N283:P283)</f>
        <v>99.99222</v>
      </c>
      <c r="R283" s="117">
        <f>109.6-19.68545</f>
        <v>89.91454999999999</v>
      </c>
      <c r="S283" s="117">
        <f>109.6-19.685</f>
        <v>89.91499999999999</v>
      </c>
      <c r="T283" s="117">
        <f>109.6-19.685</f>
        <v>89.91499999999999</v>
      </c>
      <c r="U283" s="109">
        <f t="shared" si="148"/>
        <v>269.74455</v>
      </c>
    </row>
    <row r="284" spans="1:21" ht="12.75">
      <c r="A284" s="88" t="s">
        <v>118</v>
      </c>
      <c r="B284" s="55">
        <v>611</v>
      </c>
      <c r="C284" s="56" t="s">
        <v>155</v>
      </c>
      <c r="D284" s="52"/>
      <c r="E284" s="117">
        <f t="shared" si="145"/>
        <v>329.2</v>
      </c>
      <c r="F284" s="117">
        <v>33.86386</v>
      </c>
      <c r="G284" s="117">
        <v>46.66041</v>
      </c>
      <c r="H284" s="117">
        <f>28.47573+10.89415</f>
        <v>39.369879999999995</v>
      </c>
      <c r="I284" s="109">
        <f t="shared" si="149"/>
        <v>119.89415</v>
      </c>
      <c r="J284" s="133">
        <v>9.26752</v>
      </c>
      <c r="K284" s="133">
        <v>50.69127</v>
      </c>
      <c r="L284" s="133">
        <v>18.078</v>
      </c>
      <c r="M284" s="109">
        <f t="shared" si="147"/>
        <v>78.03679</v>
      </c>
      <c r="N284" s="133">
        <v>12.383</v>
      </c>
      <c r="O284" s="133">
        <v>12.06141</v>
      </c>
      <c r="P284" s="133">
        <v>17.60539</v>
      </c>
      <c r="Q284" s="109">
        <f aca="true" t="shared" si="150" ref="Q284:Q299">SUM(N284:P284)</f>
        <v>42.0498</v>
      </c>
      <c r="R284" s="117">
        <f>32.73-1.57766-7.40308</f>
        <v>23.749259999999996</v>
      </c>
      <c r="S284" s="117">
        <v>32.73</v>
      </c>
      <c r="T284" s="117">
        <v>32.74</v>
      </c>
      <c r="U284" s="109">
        <f t="shared" si="148"/>
        <v>89.21925999999999</v>
      </c>
    </row>
    <row r="285" spans="1:21" ht="12.75">
      <c r="A285" s="88" t="s">
        <v>119</v>
      </c>
      <c r="B285" s="55">
        <v>611</v>
      </c>
      <c r="C285" s="56" t="s">
        <v>155</v>
      </c>
      <c r="D285" s="52"/>
      <c r="E285" s="117">
        <f t="shared" si="145"/>
        <v>61.099999999999994</v>
      </c>
      <c r="F285" s="117">
        <v>0</v>
      </c>
      <c r="G285" s="117">
        <v>0.75712</v>
      </c>
      <c r="H285" s="117">
        <f>12.24288-11.01984</f>
        <v>1.2230399999999992</v>
      </c>
      <c r="I285" s="109">
        <f t="shared" si="149"/>
        <v>1.9801599999999993</v>
      </c>
      <c r="J285" s="133">
        <v>0.75712</v>
      </c>
      <c r="K285" s="133">
        <v>0.64064</v>
      </c>
      <c r="L285" s="133">
        <f>5+19.62208-23.80672</f>
        <v>0.8153600000000019</v>
      </c>
      <c r="M285" s="109">
        <f t="shared" si="147"/>
        <v>2.2131200000000018</v>
      </c>
      <c r="N285" s="133">
        <v>0.69888</v>
      </c>
      <c r="O285" s="133">
        <v>1.31802</v>
      </c>
      <c r="P285" s="133">
        <v>0.77883</v>
      </c>
      <c r="Q285" s="109">
        <f t="shared" si="150"/>
        <v>2.79573</v>
      </c>
      <c r="R285" s="117">
        <f>6.03+28.10784+7.90315</f>
        <v>42.040989999999994</v>
      </c>
      <c r="S285" s="117">
        <v>6.03</v>
      </c>
      <c r="T285" s="117">
        <v>6.04</v>
      </c>
      <c r="U285" s="109">
        <f t="shared" si="148"/>
        <v>54.110989999999994</v>
      </c>
    </row>
    <row r="286" spans="1:21" ht="12.75">
      <c r="A286" s="88" t="s">
        <v>102</v>
      </c>
      <c r="B286" s="55">
        <v>611</v>
      </c>
      <c r="C286" s="56" t="s">
        <v>156</v>
      </c>
      <c r="D286" s="52"/>
      <c r="E286" s="117">
        <f t="shared" si="145"/>
        <v>106.2</v>
      </c>
      <c r="F286" s="117">
        <f aca="true" t="shared" si="151" ref="F286:H287">F287</f>
        <v>0</v>
      </c>
      <c r="G286" s="117">
        <f t="shared" si="151"/>
        <v>10.1463</v>
      </c>
      <c r="H286" s="117">
        <f t="shared" si="151"/>
        <v>10.1463</v>
      </c>
      <c r="I286" s="109">
        <f t="shared" si="149"/>
        <v>20.2926</v>
      </c>
      <c r="J286" s="133">
        <f aca="true" t="shared" si="152" ref="G286:L287">J287</f>
        <v>10.1463</v>
      </c>
      <c r="K286" s="133">
        <f t="shared" si="152"/>
        <v>10.1463</v>
      </c>
      <c r="L286" s="133">
        <f t="shared" si="152"/>
        <v>10.1463</v>
      </c>
      <c r="M286" s="109">
        <f t="shared" si="147"/>
        <v>30.4389</v>
      </c>
      <c r="N286" s="133">
        <f aca="true" t="shared" si="153" ref="N286:P287">N287</f>
        <v>10.1463</v>
      </c>
      <c r="O286" s="133">
        <f t="shared" si="153"/>
        <v>12.1463</v>
      </c>
      <c r="P286" s="133">
        <f t="shared" si="153"/>
        <v>10.1463</v>
      </c>
      <c r="Q286" s="109">
        <f t="shared" si="150"/>
        <v>32.438900000000004</v>
      </c>
      <c r="R286" s="117">
        <f aca="true" t="shared" si="154" ref="R286:T287">R287</f>
        <v>2.9587000000000003</v>
      </c>
      <c r="S286" s="117">
        <f t="shared" si="154"/>
        <v>4.9587</v>
      </c>
      <c r="T286" s="117">
        <f t="shared" si="154"/>
        <v>15.112199999999998</v>
      </c>
      <c r="U286" s="109">
        <f t="shared" si="148"/>
        <v>23.0296</v>
      </c>
    </row>
    <row r="287" spans="1:21" ht="12.75">
      <c r="A287" s="88" t="s">
        <v>137</v>
      </c>
      <c r="B287" s="55">
        <v>611</v>
      </c>
      <c r="C287" s="56" t="s">
        <v>156</v>
      </c>
      <c r="D287" s="52"/>
      <c r="E287" s="117">
        <f t="shared" si="145"/>
        <v>106.2</v>
      </c>
      <c r="F287" s="117">
        <f t="shared" si="151"/>
        <v>0</v>
      </c>
      <c r="G287" s="117">
        <f t="shared" si="152"/>
        <v>10.1463</v>
      </c>
      <c r="H287" s="117">
        <f t="shared" si="152"/>
        <v>10.1463</v>
      </c>
      <c r="I287" s="109">
        <f t="shared" si="149"/>
        <v>20.2926</v>
      </c>
      <c r="J287" s="133">
        <f t="shared" si="152"/>
        <v>10.1463</v>
      </c>
      <c r="K287" s="133">
        <f t="shared" si="152"/>
        <v>10.1463</v>
      </c>
      <c r="L287" s="133">
        <f t="shared" si="152"/>
        <v>10.1463</v>
      </c>
      <c r="M287" s="109">
        <f>SUM(J287:L287)</f>
        <v>30.4389</v>
      </c>
      <c r="N287" s="133">
        <f t="shared" si="153"/>
        <v>10.1463</v>
      </c>
      <c r="O287" s="133">
        <f t="shared" si="153"/>
        <v>12.1463</v>
      </c>
      <c r="P287" s="133">
        <f t="shared" si="153"/>
        <v>10.1463</v>
      </c>
      <c r="Q287" s="109">
        <f>SUM(N287:P287)</f>
        <v>32.438900000000004</v>
      </c>
      <c r="R287" s="117">
        <f t="shared" si="154"/>
        <v>2.9587000000000003</v>
      </c>
      <c r="S287" s="117">
        <f t="shared" si="154"/>
        <v>4.9587</v>
      </c>
      <c r="T287" s="117">
        <f t="shared" si="154"/>
        <v>15.112199999999998</v>
      </c>
      <c r="U287" s="109">
        <f>SUM(R287:T287)</f>
        <v>23.0296</v>
      </c>
    </row>
    <row r="288" spans="1:21" ht="18" customHeight="1">
      <c r="A288" s="88" t="s">
        <v>140</v>
      </c>
      <c r="B288" s="55">
        <v>611</v>
      </c>
      <c r="C288" s="56" t="s">
        <v>156</v>
      </c>
      <c r="D288" s="52"/>
      <c r="E288" s="117">
        <f t="shared" si="145"/>
        <v>106.2</v>
      </c>
      <c r="F288" s="117">
        <v>0</v>
      </c>
      <c r="G288" s="117">
        <v>10.1463</v>
      </c>
      <c r="H288" s="117">
        <v>10.1463</v>
      </c>
      <c r="I288" s="109">
        <f t="shared" si="149"/>
        <v>20.2926</v>
      </c>
      <c r="J288" s="133">
        <v>10.1463</v>
      </c>
      <c r="K288" s="133">
        <v>10.1463</v>
      </c>
      <c r="L288" s="133">
        <f>8.84+3.5748-2.2685</f>
        <v>10.1463</v>
      </c>
      <c r="M288" s="109">
        <f>SUM(J288:L288)</f>
        <v>30.4389</v>
      </c>
      <c r="N288" s="133">
        <f>2.2685+7.8778</f>
        <v>10.1463</v>
      </c>
      <c r="O288" s="133">
        <v>12.1463</v>
      </c>
      <c r="P288" s="133">
        <v>10.1463</v>
      </c>
      <c r="Q288" s="109">
        <f>SUM(N288:P288)</f>
        <v>32.438900000000004</v>
      </c>
      <c r="R288" s="117">
        <f>17.73-2.625-12.1463</f>
        <v>2.9587000000000003</v>
      </c>
      <c r="S288" s="117">
        <f>17.73-2.625-10.1463</f>
        <v>4.9587</v>
      </c>
      <c r="T288" s="117">
        <f>17.74-2.6278</f>
        <v>15.112199999999998</v>
      </c>
      <c r="U288" s="109">
        <f>SUM(R288:T288)</f>
        <v>23.0296</v>
      </c>
    </row>
    <row r="289" spans="1:21" ht="12.75">
      <c r="A289" s="88" t="s">
        <v>104</v>
      </c>
      <c r="B289" s="55">
        <v>611</v>
      </c>
      <c r="C289" s="56" t="s">
        <v>157</v>
      </c>
      <c r="D289" s="52"/>
      <c r="E289" s="117">
        <f t="shared" si="145"/>
        <v>85.8</v>
      </c>
      <c r="F289" s="117">
        <v>0</v>
      </c>
      <c r="G289" s="117">
        <v>5.3</v>
      </c>
      <c r="H289" s="117">
        <f>7.82-2.52</f>
        <v>5.300000000000001</v>
      </c>
      <c r="I289" s="109">
        <f t="shared" si="149"/>
        <v>10.600000000000001</v>
      </c>
      <c r="J289" s="133">
        <v>5.3</v>
      </c>
      <c r="K289" s="133">
        <v>5.3</v>
      </c>
      <c r="L289" s="133">
        <f>4.38+0.66+28-27.74</f>
        <v>5.300000000000001</v>
      </c>
      <c r="M289" s="109">
        <f t="shared" si="147"/>
        <v>15.9</v>
      </c>
      <c r="N289" s="133">
        <v>5.3</v>
      </c>
      <c r="O289" s="133">
        <v>7.3</v>
      </c>
      <c r="P289" s="133">
        <v>5.3</v>
      </c>
      <c r="Q289" s="109">
        <f t="shared" si="150"/>
        <v>17.9</v>
      </c>
      <c r="R289" s="117">
        <f>8.75+22.44-7.3</f>
        <v>23.89</v>
      </c>
      <c r="S289" s="117">
        <v>8.75</v>
      </c>
      <c r="T289" s="117">
        <v>8.76</v>
      </c>
      <c r="U289" s="109">
        <f t="shared" si="148"/>
        <v>41.4</v>
      </c>
    </row>
    <row r="290" spans="1:21" ht="12.75">
      <c r="A290" s="88" t="s">
        <v>106</v>
      </c>
      <c r="B290" s="55">
        <v>611</v>
      </c>
      <c r="C290" s="56" t="s">
        <v>158</v>
      </c>
      <c r="D290" s="52"/>
      <c r="E290" s="117">
        <f>Q290+U290+I290+M290</f>
        <v>233.76999999999998</v>
      </c>
      <c r="F290" s="117">
        <v>57.143</v>
      </c>
      <c r="G290" s="117"/>
      <c r="H290" s="117">
        <v>0</v>
      </c>
      <c r="I290" s="109">
        <f t="shared" si="149"/>
        <v>57.143</v>
      </c>
      <c r="J290" s="133">
        <v>57.264</v>
      </c>
      <c r="K290" s="133"/>
      <c r="L290" s="133">
        <v>57.264</v>
      </c>
      <c r="M290" s="109">
        <f>J290+K290+L290</f>
        <v>114.528</v>
      </c>
      <c r="N290" s="133"/>
      <c r="O290" s="133">
        <v>0.02707</v>
      </c>
      <c r="P290" s="133"/>
      <c r="Q290" s="109">
        <f t="shared" si="150"/>
        <v>0.02707</v>
      </c>
      <c r="R290" s="117">
        <f>39.25-19.088+1.56593</f>
        <v>21.72793</v>
      </c>
      <c r="S290" s="117">
        <f>39.26-19.088</f>
        <v>20.171999999999997</v>
      </c>
      <c r="T290" s="117">
        <f>39.26-19.088</f>
        <v>20.171999999999997</v>
      </c>
      <c r="U290" s="109">
        <f t="shared" si="148"/>
        <v>62.071929999999995</v>
      </c>
    </row>
    <row r="291" spans="1:21" ht="12.75" hidden="1">
      <c r="A291" s="88" t="s">
        <v>114</v>
      </c>
      <c r="B291" s="55">
        <v>611</v>
      </c>
      <c r="C291" s="56" t="s">
        <v>159</v>
      </c>
      <c r="D291" s="52"/>
      <c r="E291" s="117">
        <f aca="true" t="shared" si="155" ref="E291:E299">I291+M291+Q291+U291</f>
        <v>0</v>
      </c>
      <c r="F291" s="117">
        <f>F292+F293</f>
        <v>0</v>
      </c>
      <c r="G291" s="117">
        <f>G292+G293</f>
        <v>0</v>
      </c>
      <c r="H291" s="117">
        <f>H292+H293</f>
        <v>0</v>
      </c>
      <c r="I291" s="109">
        <f t="shared" si="149"/>
        <v>0</v>
      </c>
      <c r="J291" s="133">
        <f>SUM(J292:J293)</f>
        <v>0</v>
      </c>
      <c r="K291" s="133">
        <f>SUM(K292:K293)</f>
        <v>0</v>
      </c>
      <c r="L291" s="133">
        <f>SUM(L292:L293)</f>
        <v>0</v>
      </c>
      <c r="M291" s="109">
        <f aca="true" t="shared" si="156" ref="M291:M299">SUM(J291:L291)</f>
        <v>0</v>
      </c>
      <c r="N291" s="133">
        <f>SUM(N292:N293)</f>
        <v>0</v>
      </c>
      <c r="O291" s="133">
        <f>SUM(O292:O293)</f>
        <v>0</v>
      </c>
      <c r="P291" s="133">
        <f>SUM(P292:P293)</f>
        <v>0</v>
      </c>
      <c r="Q291" s="109">
        <f t="shared" si="150"/>
        <v>0</v>
      </c>
      <c r="R291" s="117">
        <f>SUM(R292:R293)</f>
        <v>0</v>
      </c>
      <c r="S291" s="117">
        <f>SUM(S292:S293)</f>
        <v>0</v>
      </c>
      <c r="T291" s="117">
        <f>SUM(T292:T293)</f>
        <v>0</v>
      </c>
      <c r="U291" s="109">
        <f>SUM(R291:T291)</f>
        <v>0</v>
      </c>
    </row>
    <row r="292" spans="1:21" ht="12.75" hidden="1">
      <c r="A292" s="88" t="s">
        <v>108</v>
      </c>
      <c r="B292" s="55">
        <v>611</v>
      </c>
      <c r="C292" s="56" t="s">
        <v>160</v>
      </c>
      <c r="D292" s="52"/>
      <c r="E292" s="117">
        <f t="shared" si="155"/>
        <v>0</v>
      </c>
      <c r="F292" s="117"/>
      <c r="G292" s="117"/>
      <c r="H292" s="117"/>
      <c r="I292" s="109"/>
      <c r="J292" s="133"/>
      <c r="K292" s="133"/>
      <c r="L292" s="133"/>
      <c r="M292" s="109">
        <f t="shared" si="156"/>
        <v>0</v>
      </c>
      <c r="N292" s="133"/>
      <c r="O292" s="133"/>
      <c r="P292" s="133"/>
      <c r="Q292" s="109">
        <f t="shared" si="150"/>
        <v>0</v>
      </c>
      <c r="R292" s="117"/>
      <c r="S292" s="117"/>
      <c r="T292" s="117"/>
      <c r="U292" s="109">
        <f>SUM(R292:T292)</f>
        <v>0</v>
      </c>
    </row>
    <row r="293" spans="1:21" ht="14.25" customHeight="1" hidden="1">
      <c r="A293" s="88" t="s">
        <v>110</v>
      </c>
      <c r="B293" s="55">
        <v>611</v>
      </c>
      <c r="C293" s="56" t="s">
        <v>161</v>
      </c>
      <c r="D293" s="52"/>
      <c r="E293" s="117">
        <f t="shared" si="155"/>
        <v>0</v>
      </c>
      <c r="F293" s="117">
        <f>F294</f>
        <v>0</v>
      </c>
      <c r="G293" s="117">
        <f>G294</f>
        <v>0</v>
      </c>
      <c r="H293" s="117">
        <f>H294</f>
        <v>0</v>
      </c>
      <c r="I293" s="109">
        <f>SUM(F293:H293)</f>
        <v>0</v>
      </c>
      <c r="J293" s="133">
        <f>J294</f>
        <v>0</v>
      </c>
      <c r="K293" s="133">
        <f>K294</f>
        <v>0</v>
      </c>
      <c r="L293" s="133">
        <f>L294</f>
        <v>0</v>
      </c>
      <c r="M293" s="109">
        <f t="shared" si="156"/>
        <v>0</v>
      </c>
      <c r="N293" s="133">
        <f>N294</f>
        <v>0</v>
      </c>
      <c r="O293" s="133">
        <f>O294</f>
        <v>0</v>
      </c>
      <c r="P293" s="133">
        <f>P294</f>
        <v>0</v>
      </c>
      <c r="Q293" s="109">
        <f t="shared" si="150"/>
        <v>0</v>
      </c>
      <c r="R293" s="117">
        <f>R294</f>
        <v>0</v>
      </c>
      <c r="S293" s="117">
        <f>S294</f>
        <v>0</v>
      </c>
      <c r="T293" s="117">
        <f>T294</f>
        <v>0</v>
      </c>
      <c r="U293" s="109">
        <f>SUM(R293:T293)</f>
        <v>0</v>
      </c>
    </row>
    <row r="294" spans="1:21" ht="12.75" hidden="1">
      <c r="A294" s="88" t="s">
        <v>116</v>
      </c>
      <c r="B294" s="55">
        <v>611</v>
      </c>
      <c r="C294" s="56" t="s">
        <v>161</v>
      </c>
      <c r="D294" s="52"/>
      <c r="E294" s="117">
        <f t="shared" si="155"/>
        <v>0</v>
      </c>
      <c r="F294" s="117"/>
      <c r="G294" s="117"/>
      <c r="H294" s="117"/>
      <c r="I294" s="109">
        <f>SUM(F294:H294)</f>
        <v>0</v>
      </c>
      <c r="J294" s="133"/>
      <c r="K294" s="133"/>
      <c r="L294" s="133"/>
      <c r="M294" s="109">
        <f t="shared" si="156"/>
        <v>0</v>
      </c>
      <c r="N294" s="133"/>
      <c r="O294" s="133"/>
      <c r="P294" s="133"/>
      <c r="Q294" s="109">
        <f t="shared" si="150"/>
        <v>0</v>
      </c>
      <c r="R294" s="117"/>
      <c r="S294" s="117"/>
      <c r="T294" s="117"/>
      <c r="U294" s="109">
        <f>SUM(R294:T294)</f>
        <v>0</v>
      </c>
    </row>
    <row r="295" spans="1:21" ht="69.75" customHeight="1">
      <c r="A295" s="90" t="s">
        <v>292</v>
      </c>
      <c r="B295" s="57">
        <v>611</v>
      </c>
      <c r="C295" s="199" t="s">
        <v>212</v>
      </c>
      <c r="D295" s="200"/>
      <c r="E295" s="133">
        <f>I295+M295+Q295+U295</f>
        <v>475.1</v>
      </c>
      <c r="F295" s="133">
        <f>F296+F297</f>
        <v>0</v>
      </c>
      <c r="G295" s="133">
        <f>G296+G297</f>
        <v>0</v>
      </c>
      <c r="H295" s="133">
        <f>H296+H297</f>
        <v>0</v>
      </c>
      <c r="I295" s="130">
        <f>F295+G295+H295</f>
        <v>0</v>
      </c>
      <c r="J295" s="133">
        <f>J296+J297</f>
        <v>0</v>
      </c>
      <c r="K295" s="133">
        <f>K296+K297</f>
        <v>0</v>
      </c>
      <c r="L295" s="133">
        <f>L296+L297</f>
        <v>0</v>
      </c>
      <c r="M295" s="130">
        <f>J295+K295+L295</f>
        <v>0</v>
      </c>
      <c r="N295" s="133">
        <f>N296+N297</f>
        <v>0</v>
      </c>
      <c r="O295" s="133">
        <f>O296+O297</f>
        <v>95.29291</v>
      </c>
      <c r="P295" s="133">
        <f>P296+P297</f>
        <v>31.31915</v>
      </c>
      <c r="Q295" s="130">
        <f>N295+O295+P295</f>
        <v>126.61206000000001</v>
      </c>
      <c r="R295" s="133">
        <f>R296+R297</f>
        <v>348.48794</v>
      </c>
      <c r="S295" s="133">
        <f>S296+S297</f>
        <v>0</v>
      </c>
      <c r="T295" s="133">
        <f>T296+T297</f>
        <v>0</v>
      </c>
      <c r="U295" s="130">
        <f>R295+S295+T295</f>
        <v>348.48794</v>
      </c>
    </row>
    <row r="296" spans="1:21" ht="12.75">
      <c r="A296" s="88" t="s">
        <v>90</v>
      </c>
      <c r="B296" s="55">
        <v>611</v>
      </c>
      <c r="C296" s="195" t="s">
        <v>150</v>
      </c>
      <c r="D296" s="196"/>
      <c r="E296" s="133">
        <f>I296+M296+Q296+U296</f>
        <v>364.9</v>
      </c>
      <c r="F296" s="133"/>
      <c r="G296" s="133"/>
      <c r="H296" s="133"/>
      <c r="I296" s="130"/>
      <c r="J296" s="133"/>
      <c r="K296" s="133"/>
      <c r="L296" s="133">
        <f>364.9-364.9</f>
        <v>0</v>
      </c>
      <c r="M296" s="130">
        <f>J296+K296+L296</f>
        <v>0</v>
      </c>
      <c r="N296" s="133"/>
      <c r="O296" s="133">
        <v>73.19428</v>
      </c>
      <c r="P296" s="133">
        <v>24.05465</v>
      </c>
      <c r="Q296" s="130">
        <f>N296+O296+P296</f>
        <v>97.24893</v>
      </c>
      <c r="R296" s="133">
        <v>267.65107</v>
      </c>
      <c r="S296" s="133"/>
      <c r="T296" s="133"/>
      <c r="U296" s="130">
        <f>R296+S296+T296</f>
        <v>267.65107</v>
      </c>
    </row>
    <row r="297" spans="1:21" ht="12.75">
      <c r="A297" s="88" t="s">
        <v>94</v>
      </c>
      <c r="B297" s="55">
        <v>611</v>
      </c>
      <c r="C297" s="56" t="s">
        <v>152</v>
      </c>
      <c r="D297" s="52"/>
      <c r="E297" s="133">
        <f>I297+M297+Q297+U297</f>
        <v>110.2</v>
      </c>
      <c r="F297" s="133"/>
      <c r="G297" s="133"/>
      <c r="H297" s="133"/>
      <c r="I297" s="130"/>
      <c r="J297" s="133"/>
      <c r="K297" s="133"/>
      <c r="L297" s="133">
        <f>110.2-110.2</f>
        <v>0</v>
      </c>
      <c r="M297" s="130">
        <f>J297+K297+L297</f>
        <v>0</v>
      </c>
      <c r="N297" s="133"/>
      <c r="O297" s="133">
        <v>22.09863</v>
      </c>
      <c r="P297" s="133">
        <v>7.2645</v>
      </c>
      <c r="Q297" s="130">
        <f>N297+O297+P297</f>
        <v>29.363129999999998</v>
      </c>
      <c r="R297" s="133">
        <v>80.83687</v>
      </c>
      <c r="S297" s="133"/>
      <c r="T297" s="133"/>
      <c r="U297" s="130">
        <f>R297+S297+T297</f>
        <v>80.83687</v>
      </c>
    </row>
    <row r="298" spans="1:21" ht="78.75" customHeight="1">
      <c r="A298" s="90" t="s">
        <v>229</v>
      </c>
      <c r="B298" s="57">
        <v>611</v>
      </c>
      <c r="C298" s="59" t="s">
        <v>212</v>
      </c>
      <c r="D298" s="58"/>
      <c r="E298" s="122">
        <f t="shared" si="155"/>
        <v>1611.9</v>
      </c>
      <c r="F298" s="122">
        <f>F299+F301+F302+F304+F308+F309+F310+F311</f>
        <v>30.283800000000003</v>
      </c>
      <c r="G298" s="122">
        <f>G299+G301+G302+G304+G308+G309+G310+G311</f>
        <v>119.54429</v>
      </c>
      <c r="H298" s="122">
        <f>H299+H301+H302+H304+H308+H309+H310+H311</f>
        <v>170.0199</v>
      </c>
      <c r="I298" s="122">
        <f>SUM(F298:H298)</f>
        <v>319.84799</v>
      </c>
      <c r="J298" s="157">
        <f>J299+J301+J302+J304+J308+J309+J310+J311</f>
        <v>130.02696</v>
      </c>
      <c r="K298" s="157">
        <f>K299+K301+K302+K304+K308+K309+K310+K311</f>
        <v>150.98939</v>
      </c>
      <c r="L298" s="157">
        <f>L299+L301+L302+L304+L308+L309+L310+L311</f>
        <v>275.06061</v>
      </c>
      <c r="M298" s="122">
        <f t="shared" si="156"/>
        <v>556.07696</v>
      </c>
      <c r="N298" s="157">
        <f>N299+N301+N302+N304+N308+N309+N310+N311</f>
        <v>44.944579999999995</v>
      </c>
      <c r="O298" s="157">
        <f>O299+O301+O302+O304+O308+O309+O310+O311</f>
        <v>104.13446</v>
      </c>
      <c r="P298" s="157">
        <f>P299+P301+P302+P304+P308+P309+P310+P311</f>
        <v>183.69834000000003</v>
      </c>
      <c r="Q298" s="122">
        <f t="shared" si="150"/>
        <v>332.77738</v>
      </c>
      <c r="R298" s="122">
        <f>R299+R301+R302+R304+R308+R309+R310+R311</f>
        <v>156.54562</v>
      </c>
      <c r="S298" s="122">
        <f>S299+S301+S302+S304+S308+S309+S310+S311</f>
        <v>96.94185</v>
      </c>
      <c r="T298" s="122">
        <f>T299+T301+T302+T304+T308+T309+T310+T311</f>
        <v>149.7102</v>
      </c>
      <c r="U298" s="122">
        <f>SUM(R298:T298)</f>
        <v>403.19767</v>
      </c>
    </row>
    <row r="299" spans="1:21" ht="12.75">
      <c r="A299" s="88" t="s">
        <v>90</v>
      </c>
      <c r="B299" s="55">
        <v>611</v>
      </c>
      <c r="C299" s="56" t="s">
        <v>150</v>
      </c>
      <c r="D299" s="52"/>
      <c r="E299" s="133">
        <f t="shared" si="155"/>
        <v>824.5200000000001</v>
      </c>
      <c r="F299" s="117">
        <v>21</v>
      </c>
      <c r="G299" s="117">
        <v>67.75911</v>
      </c>
      <c r="H299" s="117">
        <f>83.04089+2.36984</f>
        <v>85.41073</v>
      </c>
      <c r="I299" s="109">
        <f>SUM(F299:H299)</f>
        <v>174.16984000000002</v>
      </c>
      <c r="J299" s="133">
        <v>48.29519</v>
      </c>
      <c r="K299" s="133">
        <v>107.8841</v>
      </c>
      <c r="L299" s="133">
        <f>68.7-21.14913+102.18661</f>
        <v>149.73748</v>
      </c>
      <c r="M299" s="109">
        <f t="shared" si="156"/>
        <v>305.91677000000004</v>
      </c>
      <c r="N299" s="133">
        <v>25.18085</v>
      </c>
      <c r="O299" s="133">
        <v>71.18147</v>
      </c>
      <c r="P299" s="133">
        <v>123.15281</v>
      </c>
      <c r="Q299" s="109">
        <f t="shared" si="150"/>
        <v>219.51513</v>
      </c>
      <c r="R299" s="117">
        <f>80.17+9.45715-1.90608-87.72107</f>
        <v>0</v>
      </c>
      <c r="S299" s="117">
        <f>80.17-35.43174</f>
        <v>44.738260000000004</v>
      </c>
      <c r="T299" s="117">
        <v>80.18</v>
      </c>
      <c r="U299" s="109">
        <f>SUM(R299:T299)</f>
        <v>124.91826</v>
      </c>
    </row>
    <row r="300" spans="1:21" ht="12.75">
      <c r="A300" s="88" t="s">
        <v>92</v>
      </c>
      <c r="B300" s="55">
        <v>611</v>
      </c>
      <c r="C300" s="56" t="s">
        <v>151</v>
      </c>
      <c r="D300" s="52"/>
      <c r="E300" s="117"/>
      <c r="F300" s="117"/>
      <c r="G300" s="117"/>
      <c r="H300" s="117"/>
      <c r="I300" s="109"/>
      <c r="J300" s="133"/>
      <c r="K300" s="133"/>
      <c r="L300" s="133"/>
      <c r="M300" s="109"/>
      <c r="N300" s="133"/>
      <c r="O300" s="133"/>
      <c r="P300" s="133"/>
      <c r="Q300" s="109"/>
      <c r="R300" s="117"/>
      <c r="S300" s="117"/>
      <c r="T300" s="117"/>
      <c r="U300" s="109"/>
    </row>
    <row r="301" spans="1:21" ht="12.75">
      <c r="A301" s="88" t="s">
        <v>94</v>
      </c>
      <c r="B301" s="55">
        <v>611</v>
      </c>
      <c r="C301" s="56" t="s">
        <v>152</v>
      </c>
      <c r="D301" s="52"/>
      <c r="E301" s="117">
        <f>I301+M301+Q301+U301</f>
        <v>249</v>
      </c>
      <c r="F301" s="117">
        <v>0</v>
      </c>
      <c r="G301" s="117">
        <v>20.46279</v>
      </c>
      <c r="H301" s="117">
        <f>21.03721+5.92208</f>
        <v>26.959290000000003</v>
      </c>
      <c r="I301" s="109">
        <f>SUM(F301:H301)</f>
        <v>47.42208</v>
      </c>
      <c r="J301" s="133">
        <v>14.25842</v>
      </c>
      <c r="K301" s="133">
        <v>20.97845</v>
      </c>
      <c r="L301" s="133">
        <f>20.74+0.30105+40.85872</f>
        <v>61.89977</v>
      </c>
      <c r="M301" s="109">
        <f>SUM(J301:L301)</f>
        <v>97.13664</v>
      </c>
      <c r="N301" s="133"/>
      <c r="O301" s="133">
        <v>18.9732</v>
      </c>
      <c r="P301" s="133">
        <v>47.35649</v>
      </c>
      <c r="Q301" s="109">
        <f>SUM(N301:P301)</f>
        <v>66.32969</v>
      </c>
      <c r="R301" s="117">
        <f>27.7-27.7</f>
        <v>0</v>
      </c>
      <c r="S301" s="117">
        <f>27.7-17.28841</f>
        <v>10.41159</v>
      </c>
      <c r="T301" s="117">
        <v>27.7</v>
      </c>
      <c r="U301" s="109">
        <f>SUM(R301:T301)</f>
        <v>38.11159</v>
      </c>
    </row>
    <row r="302" spans="1:21" ht="12.75">
      <c r="A302" s="88" t="s">
        <v>96</v>
      </c>
      <c r="B302" s="55">
        <v>611</v>
      </c>
      <c r="C302" s="56" t="s">
        <v>153</v>
      </c>
      <c r="D302" s="52"/>
      <c r="E302" s="117">
        <f>I302+M302+Q302+U302</f>
        <v>21</v>
      </c>
      <c r="F302" s="117">
        <v>0.2142</v>
      </c>
      <c r="G302" s="117">
        <v>1.12807</v>
      </c>
      <c r="H302" s="117">
        <f>3.25773-1.98839</f>
        <v>1.26934</v>
      </c>
      <c r="I302" s="109">
        <f>SUM(F302:H302)</f>
        <v>2.6116099999999998</v>
      </c>
      <c r="J302" s="133">
        <v>1.21834</v>
      </c>
      <c r="K302" s="133">
        <v>1.2</v>
      </c>
      <c r="L302" s="133">
        <f>1.67+2.90005-3.40187</f>
        <v>1.16818</v>
      </c>
      <c r="M302" s="109">
        <f>SUM(J302:L302)</f>
        <v>3.5865199999999997</v>
      </c>
      <c r="N302" s="133">
        <v>1.18</v>
      </c>
      <c r="O302" s="133">
        <v>1.1935</v>
      </c>
      <c r="P302" s="133">
        <v>1.1909</v>
      </c>
      <c r="Q302" s="109">
        <f>SUM(N302:P302)</f>
        <v>3.5644</v>
      </c>
      <c r="R302" s="117">
        <f>2.13+3.88187+0.9556</f>
        <v>6.9674700000000005</v>
      </c>
      <c r="S302" s="117">
        <v>2.13</v>
      </c>
      <c r="T302" s="117">
        <v>2.14</v>
      </c>
      <c r="U302" s="109">
        <f>SUM(R302:T302)</f>
        <v>11.237470000000002</v>
      </c>
    </row>
    <row r="303" spans="1:21" ht="12.75">
      <c r="A303" s="88" t="s">
        <v>98</v>
      </c>
      <c r="B303" s="55">
        <v>611</v>
      </c>
      <c r="C303" s="56" t="s">
        <v>154</v>
      </c>
      <c r="D303" s="52"/>
      <c r="E303" s="117"/>
      <c r="F303" s="117"/>
      <c r="G303" s="117"/>
      <c r="H303" s="117"/>
      <c r="I303" s="109"/>
      <c r="J303" s="133"/>
      <c r="K303" s="133"/>
      <c r="L303" s="133"/>
      <c r="M303" s="109"/>
      <c r="N303" s="133"/>
      <c r="O303" s="133"/>
      <c r="P303" s="133"/>
      <c r="Q303" s="109"/>
      <c r="R303" s="117"/>
      <c r="S303" s="117"/>
      <c r="T303" s="117"/>
      <c r="U303" s="109"/>
    </row>
    <row r="304" spans="1:21" ht="12.75">
      <c r="A304" s="88" t="s">
        <v>100</v>
      </c>
      <c r="B304" s="55">
        <v>611</v>
      </c>
      <c r="C304" s="56" t="s">
        <v>155</v>
      </c>
      <c r="D304" s="52"/>
      <c r="E304" s="117">
        <f>I304+M304+Q304+U304</f>
        <v>130.5</v>
      </c>
      <c r="F304" s="117">
        <f>F305+F306+F307</f>
        <v>1.4216</v>
      </c>
      <c r="G304" s="117">
        <f>SUM(G305:G307)</f>
        <v>11.57916</v>
      </c>
      <c r="H304" s="117">
        <f>SUM(H305:H307)</f>
        <v>12.54419</v>
      </c>
      <c r="I304" s="109">
        <f>SUM(F304:H304)</f>
        <v>25.54495</v>
      </c>
      <c r="J304" s="133">
        <f>SUM(J305:J307)</f>
        <v>13.40885</v>
      </c>
      <c r="K304" s="133">
        <f>SUM(K305:K307)</f>
        <v>9.29168</v>
      </c>
      <c r="L304" s="133">
        <f>SUM(L305:L307)</f>
        <v>1.677020000000001</v>
      </c>
      <c r="M304" s="109">
        <f aca="true" t="shared" si="157" ref="M304:M310">SUM(J304:L304)</f>
        <v>24.377550000000003</v>
      </c>
      <c r="N304" s="133">
        <f>SUM(N305:N307)</f>
        <v>8.73857</v>
      </c>
      <c r="O304" s="133">
        <f>SUM(O305:O307)</f>
        <v>1.9707299999999999</v>
      </c>
      <c r="P304" s="133">
        <f>SUM(P305:P307)</f>
        <v>2.15298</v>
      </c>
      <c r="Q304" s="109">
        <f aca="true" t="shared" si="158" ref="Q304:Q309">SUM(N304:P304)</f>
        <v>12.862279999999998</v>
      </c>
      <c r="R304" s="117">
        <f>SUM(R305:R307)</f>
        <v>36.76302</v>
      </c>
      <c r="S304" s="117">
        <f>SUM(S305:S307)</f>
        <v>15.472</v>
      </c>
      <c r="T304" s="117">
        <f>SUM(T305:T307)</f>
        <v>15.4802</v>
      </c>
      <c r="U304" s="109">
        <f aca="true" t="shared" si="159" ref="U304:U309">SUM(R304:T304)</f>
        <v>67.71522</v>
      </c>
    </row>
    <row r="305" spans="1:21" ht="12.75">
      <c r="A305" s="88" t="s">
        <v>117</v>
      </c>
      <c r="B305" s="55">
        <v>611</v>
      </c>
      <c r="C305" s="56" t="s">
        <v>155</v>
      </c>
      <c r="D305" s="52"/>
      <c r="E305" s="117">
        <f>I305+M305+Q305+U305</f>
        <v>81.79999999999998</v>
      </c>
      <c r="F305" s="117">
        <v>0</v>
      </c>
      <c r="G305" s="117">
        <v>9.54504</v>
      </c>
      <c r="H305" s="117">
        <f>17.45496-6.65101</f>
        <v>10.80395</v>
      </c>
      <c r="I305" s="109">
        <f>SUM(F305:H305)</f>
        <v>20.34899</v>
      </c>
      <c r="J305" s="133">
        <v>12.80161</v>
      </c>
      <c r="K305" s="133">
        <v>5.92214</v>
      </c>
      <c r="L305" s="133">
        <f>5.4-1.47274-3.92726</f>
        <v>0</v>
      </c>
      <c r="M305" s="109">
        <f t="shared" si="157"/>
        <v>18.72375</v>
      </c>
      <c r="N305" s="133">
        <f>3.92726+3.0858</f>
        <v>7.013059999999999</v>
      </c>
      <c r="O305" s="133"/>
      <c r="P305" s="133"/>
      <c r="Q305" s="109">
        <f t="shared" si="158"/>
        <v>7.013059999999999</v>
      </c>
      <c r="R305" s="117">
        <f>12.93-1.028</f>
        <v>11.902</v>
      </c>
      <c r="S305" s="117">
        <f>12.93-1.028</f>
        <v>11.902</v>
      </c>
      <c r="T305" s="117">
        <f>12.94-1.0298</f>
        <v>11.9102</v>
      </c>
      <c r="U305" s="109">
        <f t="shared" si="159"/>
        <v>35.7142</v>
      </c>
    </row>
    <row r="306" spans="1:21" ht="12.75">
      <c r="A306" s="88" t="s">
        <v>118</v>
      </c>
      <c r="B306" s="55">
        <v>611</v>
      </c>
      <c r="C306" s="56" t="s">
        <v>155</v>
      </c>
      <c r="D306" s="52"/>
      <c r="E306" s="117">
        <f>I306+M306+Q306+U306</f>
        <v>48</v>
      </c>
      <c r="F306" s="117">
        <v>1.4216</v>
      </c>
      <c r="G306" s="117">
        <v>1.97588</v>
      </c>
      <c r="H306" s="117">
        <f>12.00252-10.32052</f>
        <v>1.6820000000000004</v>
      </c>
      <c r="I306" s="109">
        <f>SUM(F306:H306)</f>
        <v>5.07948</v>
      </c>
      <c r="J306" s="133">
        <v>0.549</v>
      </c>
      <c r="K306" s="133">
        <v>3.3113</v>
      </c>
      <c r="L306" s="133">
        <f>4.34+15.12022-17.84144</f>
        <v>1.618780000000001</v>
      </c>
      <c r="M306" s="109">
        <f t="shared" si="157"/>
        <v>5.4790800000000015</v>
      </c>
      <c r="N306" s="133">
        <v>1.66727</v>
      </c>
      <c r="O306" s="133">
        <v>1.91082</v>
      </c>
      <c r="P306" s="133">
        <v>2.09307</v>
      </c>
      <c r="Q306" s="109">
        <f t="shared" si="158"/>
        <v>5.67116</v>
      </c>
      <c r="R306" s="117">
        <f>3.5+19.20417+2.06611</f>
        <v>24.77028</v>
      </c>
      <c r="S306" s="117">
        <v>3.5</v>
      </c>
      <c r="T306" s="117">
        <v>3.5</v>
      </c>
      <c r="U306" s="109">
        <f t="shared" si="159"/>
        <v>31.77028</v>
      </c>
    </row>
    <row r="307" spans="1:21" ht="12.75">
      <c r="A307" s="88" t="s">
        <v>119</v>
      </c>
      <c r="B307" s="55">
        <v>611</v>
      </c>
      <c r="C307" s="56" t="s">
        <v>155</v>
      </c>
      <c r="D307" s="52"/>
      <c r="E307" s="117">
        <f>I307+M307+Q307+U307</f>
        <v>0.7</v>
      </c>
      <c r="F307" s="117">
        <v>0</v>
      </c>
      <c r="G307" s="117">
        <v>0.05824</v>
      </c>
      <c r="H307" s="117">
        <f>0.04176-0.01648+0.03296</f>
        <v>0.05824</v>
      </c>
      <c r="I307" s="109">
        <f>SUM(F307:H307)</f>
        <v>0.11648</v>
      </c>
      <c r="J307" s="133">
        <v>0.05824</v>
      </c>
      <c r="K307" s="133">
        <v>0.05824</v>
      </c>
      <c r="L307" s="133">
        <f>0.07-0.00296-0.0088</f>
        <v>0.05824</v>
      </c>
      <c r="M307" s="109">
        <f t="shared" si="157"/>
        <v>0.17472</v>
      </c>
      <c r="N307" s="133">
        <v>0.05824</v>
      </c>
      <c r="O307" s="133">
        <v>0.05991</v>
      </c>
      <c r="P307" s="133">
        <v>0.05991</v>
      </c>
      <c r="Q307" s="109">
        <f t="shared" si="158"/>
        <v>0.17806</v>
      </c>
      <c r="R307" s="117">
        <f>0.06+0.03074</f>
        <v>0.09074</v>
      </c>
      <c r="S307" s="117">
        <v>0.07</v>
      </c>
      <c r="T307" s="117">
        <v>0.07</v>
      </c>
      <c r="U307" s="109">
        <f t="shared" si="159"/>
        <v>0.23074</v>
      </c>
    </row>
    <row r="308" spans="1:21" ht="12.75">
      <c r="A308" s="88" t="s">
        <v>102</v>
      </c>
      <c r="B308" s="55">
        <v>611</v>
      </c>
      <c r="C308" s="56" t="s">
        <v>156</v>
      </c>
      <c r="D308" s="52"/>
      <c r="E308" s="117">
        <f>Q308+U308+M308+I308</f>
        <v>144.493</v>
      </c>
      <c r="F308" s="117">
        <f>F309</f>
        <v>0</v>
      </c>
      <c r="G308" s="117">
        <v>5.59516</v>
      </c>
      <c r="H308" s="117">
        <f>1.60484+4.94032</f>
        <v>6.54516</v>
      </c>
      <c r="I308" s="109">
        <f>SUM(F308:H308)</f>
        <v>12.14032</v>
      </c>
      <c r="J308" s="133">
        <v>6.92116</v>
      </c>
      <c r="K308" s="133">
        <v>6.54516</v>
      </c>
      <c r="L308" s="133">
        <f>3.87+56.13-39.647-13.80784</f>
        <v>6.545160000000001</v>
      </c>
      <c r="M308" s="109">
        <f t="shared" si="157"/>
        <v>20.01148</v>
      </c>
      <c r="N308" s="133">
        <v>6.54516</v>
      </c>
      <c r="O308" s="133">
        <v>7.51556</v>
      </c>
      <c r="P308" s="133">
        <v>6.54516</v>
      </c>
      <c r="Q308" s="109">
        <f t="shared" si="158"/>
        <v>20.60588</v>
      </c>
      <c r="R308" s="117">
        <f>7.41+14.85604-7.51556+62.15484</f>
        <v>76.90532</v>
      </c>
      <c r="S308" s="117">
        <v>7.41</v>
      </c>
      <c r="T308" s="117">
        <v>7.42</v>
      </c>
      <c r="U308" s="109">
        <f t="shared" si="159"/>
        <v>91.73532</v>
      </c>
    </row>
    <row r="309" spans="1:21" ht="12.75">
      <c r="A309" s="88" t="s">
        <v>104</v>
      </c>
      <c r="B309" s="55">
        <v>611</v>
      </c>
      <c r="C309" s="56" t="s">
        <v>157</v>
      </c>
      <c r="D309" s="52"/>
      <c r="E309" s="117">
        <f>Q309+U309+M309+I309</f>
        <v>152.1</v>
      </c>
      <c r="F309" s="117">
        <v>0</v>
      </c>
      <c r="G309" s="117">
        <v>8.3</v>
      </c>
      <c r="H309" s="117">
        <f>81.7-44.444</f>
        <v>37.256</v>
      </c>
      <c r="I309" s="109">
        <f>F309+G309+H309</f>
        <v>45.556</v>
      </c>
      <c r="J309" s="133">
        <v>38.239</v>
      </c>
      <c r="K309" s="133">
        <v>3.3</v>
      </c>
      <c r="L309" s="133">
        <f>6.67+16.235-19.605</f>
        <v>3.3000000000000007</v>
      </c>
      <c r="M309" s="109">
        <f t="shared" si="157"/>
        <v>44.839</v>
      </c>
      <c r="N309" s="133">
        <v>3.3</v>
      </c>
      <c r="O309" s="133">
        <v>3.3</v>
      </c>
      <c r="P309" s="133">
        <v>3.3</v>
      </c>
      <c r="Q309" s="109">
        <f t="shared" si="158"/>
        <v>9.899999999999999</v>
      </c>
      <c r="R309" s="117">
        <f>14.03+9.705</f>
        <v>23.735</v>
      </c>
      <c r="S309" s="117">
        <v>14.03</v>
      </c>
      <c r="T309" s="117">
        <v>14.04</v>
      </c>
      <c r="U309" s="109">
        <f t="shared" si="159"/>
        <v>51.805</v>
      </c>
    </row>
    <row r="310" spans="1:21" ht="12.75">
      <c r="A310" s="88" t="s">
        <v>106</v>
      </c>
      <c r="B310" s="55">
        <v>611</v>
      </c>
      <c r="C310" s="56" t="s">
        <v>158</v>
      </c>
      <c r="D310" s="52"/>
      <c r="E310" s="117">
        <f>M310+Q310+U310+I310</f>
        <v>34.04</v>
      </c>
      <c r="F310" s="117">
        <v>7.648</v>
      </c>
      <c r="G310" s="117">
        <v>0</v>
      </c>
      <c r="H310" s="117">
        <f>1.352-1.31681</f>
        <v>0.035190000000000055</v>
      </c>
      <c r="I310" s="109">
        <f>F310+G310+H310</f>
        <v>7.68319</v>
      </c>
      <c r="J310" s="133">
        <v>7.686</v>
      </c>
      <c r="K310" s="133">
        <v>0</v>
      </c>
      <c r="L310" s="133">
        <f>4.25-2.11919+5.55519</f>
        <v>7.686</v>
      </c>
      <c r="M310" s="109">
        <f t="shared" si="157"/>
        <v>15.372</v>
      </c>
      <c r="N310" s="133"/>
      <c r="O310" s="133"/>
      <c r="P310" s="133"/>
      <c r="Q310" s="109">
        <f>P310+N310+O310</f>
        <v>0</v>
      </c>
      <c r="R310" s="117">
        <f>2.74+2.74481</f>
        <v>5.48481</v>
      </c>
      <c r="S310" s="117">
        <v>2.75</v>
      </c>
      <c r="T310" s="117">
        <v>2.75</v>
      </c>
      <c r="U310" s="109">
        <f>R310+S310+T310</f>
        <v>10.98481</v>
      </c>
    </row>
    <row r="311" spans="1:21" ht="12.75">
      <c r="A311" s="88" t="s">
        <v>114</v>
      </c>
      <c r="B311" s="55">
        <v>611</v>
      </c>
      <c r="C311" s="56" t="s">
        <v>159</v>
      </c>
      <c r="D311" s="52"/>
      <c r="E311" s="117">
        <f>Q311+U311+I311+M311</f>
        <v>56.247</v>
      </c>
      <c r="F311" s="117">
        <f>F313+F312</f>
        <v>0</v>
      </c>
      <c r="G311" s="117">
        <f>G313+G312</f>
        <v>4.72</v>
      </c>
      <c r="H311" s="117">
        <f>H313+H312</f>
        <v>0</v>
      </c>
      <c r="I311" s="109">
        <f>F311+G311+H311</f>
        <v>4.72</v>
      </c>
      <c r="J311" s="133">
        <f>J313+J312</f>
        <v>0</v>
      </c>
      <c r="K311" s="133">
        <f>K313+K312</f>
        <v>1.79</v>
      </c>
      <c r="L311" s="133">
        <f>L313+L312</f>
        <v>43.047</v>
      </c>
      <c r="M311" s="109">
        <f>J311+K311+L311</f>
        <v>44.836999999999996</v>
      </c>
      <c r="N311" s="133">
        <f>N312+N313</f>
        <v>0</v>
      </c>
      <c r="O311" s="133">
        <f>O312+O313</f>
        <v>0</v>
      </c>
      <c r="P311" s="133">
        <f>P312+P313</f>
        <v>0</v>
      </c>
      <c r="Q311" s="109">
        <f aca="true" t="shared" si="160" ref="Q311:Q316">SUM(N311:P311)</f>
        <v>0</v>
      </c>
      <c r="R311" s="117">
        <f>R312+R313</f>
        <v>6.69</v>
      </c>
      <c r="S311" s="117">
        <f>S312+S313</f>
        <v>0</v>
      </c>
      <c r="T311" s="117">
        <f>T312+T313</f>
        <v>0</v>
      </c>
      <c r="U311" s="109">
        <f aca="true" t="shared" si="161" ref="U311:U316">SUM(R311:T311)</f>
        <v>6.69</v>
      </c>
    </row>
    <row r="312" spans="1:21" ht="12.75">
      <c r="A312" s="88" t="s">
        <v>108</v>
      </c>
      <c r="B312" s="55">
        <v>611</v>
      </c>
      <c r="C312" s="56" t="s">
        <v>160</v>
      </c>
      <c r="D312" s="52"/>
      <c r="E312" s="117">
        <f>Q312+U312+I312+M312</f>
        <v>0</v>
      </c>
      <c r="F312" s="117"/>
      <c r="G312" s="117"/>
      <c r="H312" s="117"/>
      <c r="I312" s="109">
        <f>F312+G312+H312</f>
        <v>0</v>
      </c>
      <c r="J312" s="133"/>
      <c r="K312" s="133"/>
      <c r="L312" s="133">
        <f>97.36-97.36</f>
        <v>0</v>
      </c>
      <c r="M312" s="109">
        <f>J312+K312+L312</f>
        <v>0</v>
      </c>
      <c r="N312" s="133">
        <f>97.36-97.36</f>
        <v>0</v>
      </c>
      <c r="O312" s="133"/>
      <c r="P312" s="133"/>
      <c r="Q312" s="109">
        <f t="shared" si="160"/>
        <v>0</v>
      </c>
      <c r="R312" s="117"/>
      <c r="S312" s="117"/>
      <c r="T312" s="117"/>
      <c r="U312" s="109">
        <f t="shared" si="161"/>
        <v>0</v>
      </c>
    </row>
    <row r="313" spans="1:21" ht="12.75">
      <c r="A313" s="88" t="s">
        <v>110</v>
      </c>
      <c r="B313" s="55">
        <v>611</v>
      </c>
      <c r="C313" s="56" t="s">
        <v>161</v>
      </c>
      <c r="D313" s="52"/>
      <c r="E313" s="117">
        <f>Q313+U313+I313+M313</f>
        <v>56.247</v>
      </c>
      <c r="F313" s="117">
        <f>F314</f>
        <v>0</v>
      </c>
      <c r="G313" s="117">
        <f>G314</f>
        <v>4.72</v>
      </c>
      <c r="H313" s="117">
        <f>H314</f>
        <v>0</v>
      </c>
      <c r="I313" s="109">
        <f>F313+G313+H313</f>
        <v>4.72</v>
      </c>
      <c r="J313" s="133">
        <f>J314</f>
        <v>0</v>
      </c>
      <c r="K313" s="133">
        <f>K314</f>
        <v>1.79</v>
      </c>
      <c r="L313" s="133">
        <f>L314</f>
        <v>43.047</v>
      </c>
      <c r="M313" s="109">
        <f>J313+K313+L313</f>
        <v>44.836999999999996</v>
      </c>
      <c r="N313" s="133">
        <f>N314</f>
        <v>0</v>
      </c>
      <c r="O313" s="133">
        <f>O314</f>
        <v>0</v>
      </c>
      <c r="P313" s="133">
        <f>P314</f>
        <v>0</v>
      </c>
      <c r="Q313" s="109">
        <f t="shared" si="160"/>
        <v>0</v>
      </c>
      <c r="R313" s="117">
        <f>R314</f>
        <v>6.69</v>
      </c>
      <c r="S313" s="117">
        <f>S314</f>
        <v>0</v>
      </c>
      <c r="T313" s="117">
        <f>T314</f>
        <v>0</v>
      </c>
      <c r="U313" s="109">
        <f t="shared" si="161"/>
        <v>6.69</v>
      </c>
    </row>
    <row r="314" spans="1:21" ht="12.75">
      <c r="A314" s="88" t="s">
        <v>116</v>
      </c>
      <c r="B314" s="55">
        <v>611</v>
      </c>
      <c r="C314" s="56" t="s">
        <v>161</v>
      </c>
      <c r="D314" s="52"/>
      <c r="E314" s="117">
        <f>Q314+U314+I314+M314</f>
        <v>56.247</v>
      </c>
      <c r="F314" s="117">
        <v>0</v>
      </c>
      <c r="G314" s="117">
        <v>4.72</v>
      </c>
      <c r="H314" s="117">
        <f>11.88-11.88</f>
        <v>0</v>
      </c>
      <c r="I314" s="109">
        <f>SUM(F314:H314)</f>
        <v>4.72</v>
      </c>
      <c r="J314" s="133"/>
      <c r="K314" s="133">
        <v>1.79</v>
      </c>
      <c r="L314" s="133">
        <f>10.09+39.647-6.69</f>
        <v>43.047</v>
      </c>
      <c r="M314" s="109">
        <f>SUM(J314:L314)</f>
        <v>44.836999999999996</v>
      </c>
      <c r="N314" s="133"/>
      <c r="O314" s="133"/>
      <c r="P314" s="133"/>
      <c r="Q314" s="109">
        <f t="shared" si="160"/>
        <v>0</v>
      </c>
      <c r="R314" s="117">
        <v>6.69</v>
      </c>
      <c r="S314" s="117"/>
      <c r="T314" s="117"/>
      <c r="U314" s="109">
        <f t="shared" si="161"/>
        <v>6.69</v>
      </c>
    </row>
    <row r="315" spans="1:21" ht="78.75">
      <c r="A315" s="150" t="s">
        <v>308</v>
      </c>
      <c r="B315" s="55">
        <v>612</v>
      </c>
      <c r="C315" s="56"/>
      <c r="D315" s="52"/>
      <c r="E315" s="117">
        <f>I315+M315+Q315+U315</f>
        <v>97.36</v>
      </c>
      <c r="F315" s="117">
        <f>F316</f>
        <v>0</v>
      </c>
      <c r="G315" s="117">
        <f>G316</f>
        <v>0</v>
      </c>
      <c r="H315" s="117">
        <f>H316</f>
        <v>0</v>
      </c>
      <c r="I315" s="109">
        <f>SUM(F315:H315)</f>
        <v>0</v>
      </c>
      <c r="J315" s="117">
        <f>J316</f>
        <v>0</v>
      </c>
      <c r="K315" s="117">
        <f>K316</f>
        <v>0</v>
      </c>
      <c r="L315" s="117">
        <f>L316</f>
        <v>0</v>
      </c>
      <c r="M315" s="109">
        <f>SUM(J315:L315)</f>
        <v>0</v>
      </c>
      <c r="N315" s="133">
        <f>N316</f>
        <v>0</v>
      </c>
      <c r="O315" s="133">
        <f>O316</f>
        <v>38.72</v>
      </c>
      <c r="P315" s="133">
        <f>P316</f>
        <v>0</v>
      </c>
      <c r="Q315" s="109">
        <f t="shared" si="160"/>
        <v>38.72</v>
      </c>
      <c r="R315" s="117">
        <f>R316</f>
        <v>58.64</v>
      </c>
      <c r="S315" s="117">
        <f>S316</f>
        <v>0</v>
      </c>
      <c r="T315" s="117">
        <f>T316</f>
        <v>0</v>
      </c>
      <c r="U315" s="109">
        <f t="shared" si="161"/>
        <v>58.64</v>
      </c>
    </row>
    <row r="316" spans="1:21" ht="26.25">
      <c r="A316" s="92" t="s">
        <v>265</v>
      </c>
      <c r="B316" s="55">
        <v>612</v>
      </c>
      <c r="C316" s="56" t="s">
        <v>160</v>
      </c>
      <c r="D316" s="52"/>
      <c r="E316" s="117">
        <f>I316+M316+Q316+U316</f>
        <v>97.36</v>
      </c>
      <c r="F316" s="117"/>
      <c r="G316" s="117"/>
      <c r="H316" s="117"/>
      <c r="I316" s="109">
        <f>SUM(F316:H316)</f>
        <v>0</v>
      </c>
      <c r="J316" s="133"/>
      <c r="K316" s="133"/>
      <c r="L316" s="133"/>
      <c r="M316" s="109">
        <f>SUM(J316:L316)</f>
        <v>0</v>
      </c>
      <c r="N316" s="133"/>
      <c r="O316" s="133">
        <v>38.72</v>
      </c>
      <c r="P316" s="133"/>
      <c r="Q316" s="109">
        <f t="shared" si="160"/>
        <v>38.72</v>
      </c>
      <c r="R316" s="117">
        <v>58.64</v>
      </c>
      <c r="S316" s="117"/>
      <c r="T316" s="117"/>
      <c r="U316" s="109">
        <f t="shared" si="161"/>
        <v>58.64</v>
      </c>
    </row>
    <row r="317" spans="1:21" ht="54" customHeight="1">
      <c r="A317" s="89" t="s">
        <v>269</v>
      </c>
      <c r="B317" s="60">
        <v>611</v>
      </c>
      <c r="C317" s="56"/>
      <c r="D317" s="52"/>
      <c r="E317" s="116">
        <f aca="true" t="shared" si="162" ref="E317:U317">E318</f>
        <v>4941.2</v>
      </c>
      <c r="F317" s="119">
        <f t="shared" si="162"/>
        <v>0</v>
      </c>
      <c r="G317" s="119">
        <f t="shared" si="162"/>
        <v>390.6</v>
      </c>
      <c r="H317" s="119">
        <f t="shared" si="162"/>
        <v>392</v>
      </c>
      <c r="I317" s="116">
        <f t="shared" si="162"/>
        <v>782.6</v>
      </c>
      <c r="J317" s="161">
        <f t="shared" si="162"/>
        <v>416</v>
      </c>
      <c r="K317" s="161">
        <f t="shared" si="162"/>
        <v>496.062</v>
      </c>
      <c r="L317" s="161">
        <f t="shared" si="162"/>
        <v>751.6379999999999</v>
      </c>
      <c r="M317" s="116">
        <f t="shared" si="162"/>
        <v>1663.6999999999998</v>
      </c>
      <c r="N317" s="161">
        <f t="shared" si="162"/>
        <v>0</v>
      </c>
      <c r="O317" s="161">
        <f t="shared" si="162"/>
        <v>415.90000000000003</v>
      </c>
      <c r="P317" s="161">
        <f t="shared" si="162"/>
        <v>831.8000000000001</v>
      </c>
      <c r="Q317" s="116">
        <f t="shared" si="162"/>
        <v>1247.7</v>
      </c>
      <c r="R317" s="119">
        <f t="shared" si="162"/>
        <v>464.74</v>
      </c>
      <c r="S317" s="119">
        <f t="shared" si="162"/>
        <v>391.23</v>
      </c>
      <c r="T317" s="119">
        <f t="shared" si="162"/>
        <v>391.23</v>
      </c>
      <c r="U317" s="116">
        <f t="shared" si="162"/>
        <v>1247.2</v>
      </c>
    </row>
    <row r="318" spans="1:21" ht="27" customHeight="1">
      <c r="A318" s="88" t="s">
        <v>112</v>
      </c>
      <c r="B318" s="55">
        <v>611</v>
      </c>
      <c r="C318" s="56" t="s">
        <v>149</v>
      </c>
      <c r="D318" s="52"/>
      <c r="E318" s="109">
        <f>I318+M318+Q318+U318</f>
        <v>4941.2</v>
      </c>
      <c r="F318" s="117">
        <f>F319+F320</f>
        <v>0</v>
      </c>
      <c r="G318" s="117">
        <f>G319+G320</f>
        <v>390.6</v>
      </c>
      <c r="H318" s="117">
        <f>H319+H320</f>
        <v>392</v>
      </c>
      <c r="I318" s="109">
        <f>F318+G318+H318</f>
        <v>782.6</v>
      </c>
      <c r="J318" s="133">
        <f>J319+J320</f>
        <v>416</v>
      </c>
      <c r="K318" s="133">
        <f>K319+K320</f>
        <v>496.062</v>
      </c>
      <c r="L318" s="133">
        <f>L319+L320</f>
        <v>751.6379999999999</v>
      </c>
      <c r="M318" s="109">
        <f>J318+K318+L318</f>
        <v>1663.6999999999998</v>
      </c>
      <c r="N318" s="133">
        <f>N319+N320</f>
        <v>0</v>
      </c>
      <c r="O318" s="133">
        <f>O319+O320</f>
        <v>415.90000000000003</v>
      </c>
      <c r="P318" s="133">
        <f>P319+P320</f>
        <v>831.8000000000001</v>
      </c>
      <c r="Q318" s="109">
        <f>N318+O318+P318</f>
        <v>1247.7</v>
      </c>
      <c r="R318" s="117">
        <f>R319+R320</f>
        <v>464.74</v>
      </c>
      <c r="S318" s="117">
        <f>S319+S320</f>
        <v>391.23</v>
      </c>
      <c r="T318" s="117">
        <f>T319+T320</f>
        <v>391.23</v>
      </c>
      <c r="U318" s="109">
        <f>R318+S318+T318</f>
        <v>1247.2</v>
      </c>
    </row>
    <row r="319" spans="1:21" ht="12.75">
      <c r="A319" s="88" t="s">
        <v>90</v>
      </c>
      <c r="B319" s="55">
        <v>611</v>
      </c>
      <c r="C319" s="56" t="s">
        <v>150</v>
      </c>
      <c r="D319" s="52"/>
      <c r="E319" s="109">
        <f>I319+M319+Q319+U319</f>
        <v>3795.084</v>
      </c>
      <c r="F319" s="117">
        <v>0</v>
      </c>
      <c r="G319" s="117">
        <v>300</v>
      </c>
      <c r="H319" s="117">
        <f>265.4+36</f>
        <v>301.4</v>
      </c>
      <c r="I319" s="109">
        <f>F319+G319+H319</f>
        <v>601.4</v>
      </c>
      <c r="J319" s="133">
        <f>283.33+36.18</f>
        <v>319.51</v>
      </c>
      <c r="K319" s="133">
        <v>381</v>
      </c>
      <c r="L319" s="133">
        <f>300.48+276.2196+0.6764-0.1</f>
        <v>577.276</v>
      </c>
      <c r="M319" s="109">
        <f>J319+K319+L319</f>
        <v>1277.786</v>
      </c>
      <c r="N319" s="133"/>
      <c r="O319" s="133">
        <v>319.432</v>
      </c>
      <c r="P319" s="133">
        <v>638.55906</v>
      </c>
      <c r="Q319" s="109">
        <f>N319+O319+P319</f>
        <v>957.9910600000001</v>
      </c>
      <c r="R319" s="117">
        <f>300.48+56.7972-0.33026</f>
        <v>356.94694</v>
      </c>
      <c r="S319" s="117">
        <v>300.48</v>
      </c>
      <c r="T319" s="117">
        <v>300.48</v>
      </c>
      <c r="U319" s="109">
        <f>R319+S319+T319</f>
        <v>957.9069400000001</v>
      </c>
    </row>
    <row r="320" spans="1:21" ht="12.75">
      <c r="A320" s="88" t="s">
        <v>94</v>
      </c>
      <c r="B320" s="55">
        <v>611</v>
      </c>
      <c r="C320" s="56" t="s">
        <v>152</v>
      </c>
      <c r="D320" s="52"/>
      <c r="E320" s="109">
        <f>I320+M320+Q320+U320</f>
        <v>1146.116</v>
      </c>
      <c r="F320" s="117">
        <v>0</v>
      </c>
      <c r="G320" s="117">
        <v>90.6</v>
      </c>
      <c r="H320" s="117">
        <f>79.728+10.872</f>
        <v>90.6</v>
      </c>
      <c r="I320" s="109">
        <f>F320+G320+H320</f>
        <v>181.2</v>
      </c>
      <c r="J320" s="133">
        <f>85.564+10.926</f>
        <v>96.49</v>
      </c>
      <c r="K320" s="133">
        <v>115.062</v>
      </c>
      <c r="L320" s="133">
        <f>90.75+83.8284-0.2164</f>
        <v>174.362</v>
      </c>
      <c r="M320" s="109">
        <f>J320+K320+L320</f>
        <v>385.914</v>
      </c>
      <c r="N320" s="133"/>
      <c r="O320" s="133">
        <v>96.468</v>
      </c>
      <c r="P320" s="133">
        <f>90.75+102.49094</f>
        <v>193.24094</v>
      </c>
      <c r="Q320" s="109">
        <f>N320+O320+P320</f>
        <v>289.70894</v>
      </c>
      <c r="R320" s="117">
        <f>90.74+17.1528-0.09974</f>
        <v>107.79306</v>
      </c>
      <c r="S320" s="117">
        <v>90.75</v>
      </c>
      <c r="T320" s="117">
        <v>90.75</v>
      </c>
      <c r="U320" s="109">
        <f>R320+S320+T320</f>
        <v>289.29305999999997</v>
      </c>
    </row>
    <row r="321" spans="1:21" ht="66" customHeight="1">
      <c r="A321" s="89" t="s">
        <v>270</v>
      </c>
      <c r="B321" s="60">
        <v>611</v>
      </c>
      <c r="C321" s="56"/>
      <c r="D321" s="52"/>
      <c r="E321" s="116">
        <f aca="true" t="shared" si="163" ref="E321:U321">E322</f>
        <v>261.9</v>
      </c>
      <c r="F321" s="119">
        <f t="shared" si="163"/>
        <v>0</v>
      </c>
      <c r="G321" s="119">
        <f t="shared" si="163"/>
        <v>62.25</v>
      </c>
      <c r="H321" s="119">
        <f t="shared" si="163"/>
        <v>0</v>
      </c>
      <c r="I321" s="116">
        <f t="shared" si="163"/>
        <v>62.25</v>
      </c>
      <c r="J321" s="161">
        <f t="shared" si="163"/>
        <v>62.24999999999999</v>
      </c>
      <c r="K321" s="161">
        <f t="shared" si="163"/>
        <v>0</v>
      </c>
      <c r="L321" s="161">
        <f t="shared" si="163"/>
        <v>0</v>
      </c>
      <c r="M321" s="116">
        <f t="shared" si="163"/>
        <v>62.24999999999999</v>
      </c>
      <c r="N321" s="161">
        <f t="shared" si="163"/>
        <v>0</v>
      </c>
      <c r="O321" s="161">
        <f t="shared" si="163"/>
        <v>30.049999999999997</v>
      </c>
      <c r="P321" s="161">
        <f t="shared" si="163"/>
        <v>45.1</v>
      </c>
      <c r="Q321" s="116">
        <f t="shared" si="163"/>
        <v>75.15</v>
      </c>
      <c r="R321" s="119">
        <f t="shared" si="163"/>
        <v>20.74</v>
      </c>
      <c r="S321" s="119">
        <f t="shared" si="163"/>
        <v>20.75</v>
      </c>
      <c r="T321" s="119">
        <f t="shared" si="163"/>
        <v>20.759999999999998</v>
      </c>
      <c r="U321" s="116">
        <f t="shared" si="163"/>
        <v>62.24999999999999</v>
      </c>
    </row>
    <row r="322" spans="1:21" ht="20.25" customHeight="1">
      <c r="A322" s="88" t="s">
        <v>112</v>
      </c>
      <c r="B322" s="55">
        <v>611</v>
      </c>
      <c r="C322" s="56" t="s">
        <v>149</v>
      </c>
      <c r="D322" s="52"/>
      <c r="E322" s="109">
        <f aca="true" t="shared" si="164" ref="E322:E347">I322+M322+Q322+U322</f>
        <v>261.9</v>
      </c>
      <c r="F322" s="117">
        <f>F323+F324</f>
        <v>0</v>
      </c>
      <c r="G322" s="117">
        <f>G323+G324</f>
        <v>62.25</v>
      </c>
      <c r="H322" s="117">
        <f>H323+H324</f>
        <v>0</v>
      </c>
      <c r="I322" s="109">
        <f>F322+G322+H322</f>
        <v>62.25</v>
      </c>
      <c r="J322" s="133">
        <f>J323+J324</f>
        <v>62.24999999999999</v>
      </c>
      <c r="K322" s="133">
        <f>K323+K324</f>
        <v>0</v>
      </c>
      <c r="L322" s="133">
        <f>L323+L324</f>
        <v>0</v>
      </c>
      <c r="M322" s="109">
        <f>J322+K322+L322</f>
        <v>62.24999999999999</v>
      </c>
      <c r="N322" s="133">
        <f>N323+N324</f>
        <v>0</v>
      </c>
      <c r="O322" s="133">
        <f>O323+O324</f>
        <v>30.049999999999997</v>
      </c>
      <c r="P322" s="133">
        <f>P323+P324</f>
        <v>45.1</v>
      </c>
      <c r="Q322" s="109">
        <f>N322+O322+P322</f>
        <v>75.15</v>
      </c>
      <c r="R322" s="117">
        <f>R323+R324</f>
        <v>20.74</v>
      </c>
      <c r="S322" s="117">
        <f>S323+S324</f>
        <v>20.75</v>
      </c>
      <c r="T322" s="117">
        <f>T323+T324</f>
        <v>20.759999999999998</v>
      </c>
      <c r="U322" s="109">
        <f>R322+S322+T322</f>
        <v>62.24999999999999</v>
      </c>
    </row>
    <row r="323" spans="1:21" ht="12.75">
      <c r="A323" s="88" t="s">
        <v>90</v>
      </c>
      <c r="B323" s="55">
        <v>611</v>
      </c>
      <c r="C323" s="56" t="s">
        <v>150</v>
      </c>
      <c r="D323" s="52"/>
      <c r="E323" s="109">
        <f t="shared" si="164"/>
        <v>201.15</v>
      </c>
      <c r="F323" s="117">
        <v>0</v>
      </c>
      <c r="G323" s="117">
        <v>47.81</v>
      </c>
      <c r="H323" s="117">
        <v>0</v>
      </c>
      <c r="I323" s="109">
        <f>F323+G323+H323</f>
        <v>47.81</v>
      </c>
      <c r="J323" s="133">
        <f>42.05+5.76</f>
        <v>47.809999999999995</v>
      </c>
      <c r="K323" s="133"/>
      <c r="L323" s="133">
        <f>9.91-9.91</f>
        <v>0</v>
      </c>
      <c r="M323" s="109">
        <f>J323+K323+L323</f>
        <v>47.809999999999995</v>
      </c>
      <c r="N323" s="133"/>
      <c r="O323" s="133">
        <v>23.08</v>
      </c>
      <c r="P323" s="133">
        <f>15.94+18.7</f>
        <v>34.64</v>
      </c>
      <c r="Q323" s="109">
        <f>N323+O323+P323</f>
        <v>57.72</v>
      </c>
      <c r="R323" s="117">
        <v>15.93</v>
      </c>
      <c r="S323" s="117">
        <v>15.94</v>
      </c>
      <c r="T323" s="117">
        <v>15.94</v>
      </c>
      <c r="U323" s="109">
        <f>R323+S323+T323</f>
        <v>47.809999999999995</v>
      </c>
    </row>
    <row r="324" spans="1:21" ht="12.75">
      <c r="A324" s="88" t="s">
        <v>94</v>
      </c>
      <c r="B324" s="55">
        <v>611</v>
      </c>
      <c r="C324" s="56" t="s">
        <v>152</v>
      </c>
      <c r="D324" s="52"/>
      <c r="E324" s="109">
        <f t="shared" si="164"/>
        <v>60.75</v>
      </c>
      <c r="F324" s="117">
        <v>0</v>
      </c>
      <c r="G324" s="117">
        <v>14.44</v>
      </c>
      <c r="H324" s="117"/>
      <c r="I324" s="109">
        <f>F324+G324+H324</f>
        <v>14.44</v>
      </c>
      <c r="J324" s="133">
        <f>12.7+1.74</f>
        <v>14.44</v>
      </c>
      <c r="K324" s="133"/>
      <c r="L324" s="133">
        <f>2.99-2.99</f>
        <v>0</v>
      </c>
      <c r="M324" s="109">
        <f>J324+K324+L324</f>
        <v>14.44</v>
      </c>
      <c r="N324" s="133"/>
      <c r="O324" s="133">
        <v>6.97</v>
      </c>
      <c r="P324" s="133">
        <f>4.82+5.64</f>
        <v>10.46</v>
      </c>
      <c r="Q324" s="109">
        <f>N324+O324+P324</f>
        <v>17.43</v>
      </c>
      <c r="R324" s="117">
        <v>4.81</v>
      </c>
      <c r="S324" s="117">
        <v>4.81</v>
      </c>
      <c r="T324" s="117">
        <v>4.82</v>
      </c>
      <c r="U324" s="109">
        <f>R324+S324+T324</f>
        <v>14.44</v>
      </c>
    </row>
    <row r="325" spans="1:21" ht="18" customHeight="1">
      <c r="A325" s="89" t="s">
        <v>141</v>
      </c>
      <c r="B325" s="60"/>
      <c r="C325" s="56"/>
      <c r="D325" s="52"/>
      <c r="E325" s="119">
        <f t="shared" si="164"/>
        <v>365.30000000000007</v>
      </c>
      <c r="F325" s="119">
        <f>F326</f>
        <v>28.93889</v>
      </c>
      <c r="G325" s="119">
        <f>G326</f>
        <v>28.93889</v>
      </c>
      <c r="H325" s="119">
        <f>H326</f>
        <v>28.938890000000004</v>
      </c>
      <c r="I325" s="116">
        <f aca="true" t="shared" si="165" ref="I325:I347">SUM(F325:H325)</f>
        <v>86.81667</v>
      </c>
      <c r="J325" s="161">
        <f>J326</f>
        <v>28.93889</v>
      </c>
      <c r="K325" s="161">
        <f>K326</f>
        <v>28.93889</v>
      </c>
      <c r="L325" s="161">
        <f>L326</f>
        <v>28.938890000000008</v>
      </c>
      <c r="M325" s="116">
        <f aca="true" t="shared" si="166" ref="M325:M352">SUM(J325:L325)</f>
        <v>86.81667000000002</v>
      </c>
      <c r="N325" s="161">
        <f>N326</f>
        <v>28.93889</v>
      </c>
      <c r="O325" s="161">
        <f>O326</f>
        <v>40.79609</v>
      </c>
      <c r="P325" s="161">
        <f>P326</f>
        <v>30.42104</v>
      </c>
      <c r="Q325" s="116">
        <f>SUM(N325:P325)</f>
        <v>100.15602000000001</v>
      </c>
      <c r="R325" s="119">
        <f>R326</f>
        <v>30.57064</v>
      </c>
      <c r="S325" s="119">
        <f>S326</f>
        <v>30.47</v>
      </c>
      <c r="T325" s="119">
        <f>T326</f>
        <v>30.47</v>
      </c>
      <c r="U325" s="116">
        <f aca="true" t="shared" si="167" ref="U325:U344">SUM(R325:T325)</f>
        <v>91.51064</v>
      </c>
    </row>
    <row r="326" spans="1:21" ht="33" customHeight="1">
      <c r="A326" s="88" t="s">
        <v>142</v>
      </c>
      <c r="B326" s="55"/>
      <c r="C326" s="56" t="s">
        <v>143</v>
      </c>
      <c r="D326" s="52"/>
      <c r="E326" s="117">
        <f t="shared" si="164"/>
        <v>365.30000000000007</v>
      </c>
      <c r="F326" s="117">
        <v>28.93889</v>
      </c>
      <c r="G326" s="117">
        <v>28.93889</v>
      </c>
      <c r="H326" s="117">
        <f>33.42222-4.48333</f>
        <v>28.938890000000004</v>
      </c>
      <c r="I326" s="109">
        <f t="shared" si="165"/>
        <v>86.81667</v>
      </c>
      <c r="J326" s="133">
        <v>28.93889</v>
      </c>
      <c r="K326" s="133">
        <v>28.93889</v>
      </c>
      <c r="L326" s="133">
        <f>30.44+7.46555-8.96666</f>
        <v>28.938890000000008</v>
      </c>
      <c r="M326" s="109">
        <f t="shared" si="166"/>
        <v>86.81667000000002</v>
      </c>
      <c r="N326" s="133">
        <v>28.93889</v>
      </c>
      <c r="O326" s="133">
        <v>40.79609</v>
      </c>
      <c r="P326" s="133">
        <v>30.42104</v>
      </c>
      <c r="Q326" s="109">
        <f>SUM(N326:P326)</f>
        <v>100.15602000000001</v>
      </c>
      <c r="R326" s="117">
        <f>30.46+10.5-10.38936</f>
        <v>30.57064</v>
      </c>
      <c r="S326" s="117">
        <v>30.47</v>
      </c>
      <c r="T326" s="117">
        <v>30.47</v>
      </c>
      <c r="U326" s="109">
        <f t="shared" si="167"/>
        <v>91.51064</v>
      </c>
    </row>
    <row r="327" spans="1:21" ht="23.25" customHeight="1">
      <c r="A327" s="89" t="s">
        <v>259</v>
      </c>
      <c r="B327" s="55"/>
      <c r="C327" s="56"/>
      <c r="D327" s="52"/>
      <c r="E327" s="119">
        <f t="shared" si="164"/>
        <v>271.7</v>
      </c>
      <c r="F327" s="119">
        <f>F328</f>
        <v>0</v>
      </c>
      <c r="G327" s="119">
        <f>G328</f>
        <v>9.44148</v>
      </c>
      <c r="H327" s="119">
        <f>H328</f>
        <v>0</v>
      </c>
      <c r="I327" s="116">
        <f t="shared" si="165"/>
        <v>9.44148</v>
      </c>
      <c r="J327" s="161">
        <f>J328</f>
        <v>7.13464</v>
      </c>
      <c r="K327" s="161">
        <f>K328</f>
        <v>2.21313</v>
      </c>
      <c r="L327" s="161">
        <f>L328</f>
        <v>0</v>
      </c>
      <c r="M327" s="116">
        <f t="shared" si="166"/>
        <v>9.34777</v>
      </c>
      <c r="N327" s="161">
        <f>N328</f>
        <v>7.13464</v>
      </c>
      <c r="O327" s="161">
        <f>O328</f>
        <v>15.53703</v>
      </c>
      <c r="P327" s="161">
        <f>P328</f>
        <v>0</v>
      </c>
      <c r="Q327" s="116">
        <f>SUM(N327:P327)</f>
        <v>22.67167</v>
      </c>
      <c r="R327" s="119">
        <f>R328</f>
        <v>230.23908</v>
      </c>
      <c r="S327" s="119">
        <f>S328</f>
        <v>0</v>
      </c>
      <c r="T327" s="119">
        <f>T328</f>
        <v>0</v>
      </c>
      <c r="U327" s="116">
        <f t="shared" si="167"/>
        <v>230.23908</v>
      </c>
    </row>
    <row r="328" spans="1:21" ht="79.5" customHeight="1">
      <c r="A328" s="93" t="s">
        <v>261</v>
      </c>
      <c r="B328" s="62">
        <v>321</v>
      </c>
      <c r="C328" s="63" t="s">
        <v>260</v>
      </c>
      <c r="D328" s="52"/>
      <c r="E328" s="124">
        <f t="shared" si="164"/>
        <v>271.7</v>
      </c>
      <c r="F328" s="124">
        <v>0</v>
      </c>
      <c r="G328" s="124">
        <v>9.44148</v>
      </c>
      <c r="H328" s="124">
        <v>0</v>
      </c>
      <c r="I328" s="125">
        <f t="shared" si="165"/>
        <v>9.44148</v>
      </c>
      <c r="J328" s="138">
        <v>7.13464</v>
      </c>
      <c r="K328" s="138">
        <v>2.21313</v>
      </c>
      <c r="L328" s="138">
        <f>252.91075-252.91075</f>
        <v>0</v>
      </c>
      <c r="M328" s="125">
        <f t="shared" si="166"/>
        <v>9.34777</v>
      </c>
      <c r="N328" s="138">
        <v>7.13464</v>
      </c>
      <c r="O328" s="138">
        <v>15.53703</v>
      </c>
      <c r="P328" s="138">
        <v>0</v>
      </c>
      <c r="Q328" s="125">
        <f>SUM(N328:P328)</f>
        <v>22.67167</v>
      </c>
      <c r="R328" s="124">
        <f>245.77611-15.53703</f>
        <v>230.23908</v>
      </c>
      <c r="S328" s="124">
        <v>0</v>
      </c>
      <c r="T328" s="124">
        <v>0</v>
      </c>
      <c r="U328" s="125">
        <f t="shared" si="167"/>
        <v>230.23908</v>
      </c>
    </row>
    <row r="329" spans="1:21" ht="20.25" customHeight="1">
      <c r="A329" s="139" t="s">
        <v>162</v>
      </c>
      <c r="B329" s="62"/>
      <c r="C329" s="63"/>
      <c r="D329" s="52"/>
      <c r="E329" s="119">
        <f t="shared" si="164"/>
        <v>5778.530809999999</v>
      </c>
      <c r="F329" s="124">
        <f>F330</f>
        <v>0</v>
      </c>
      <c r="G329" s="124">
        <f>G330</f>
        <v>0</v>
      </c>
      <c r="H329" s="124">
        <f>H330</f>
        <v>0</v>
      </c>
      <c r="I329" s="125">
        <f t="shared" si="165"/>
        <v>0</v>
      </c>
      <c r="J329" s="124">
        <f>J330</f>
        <v>0</v>
      </c>
      <c r="K329" s="124">
        <f>K330</f>
        <v>0</v>
      </c>
      <c r="L329" s="138">
        <f>L330</f>
        <v>0</v>
      </c>
      <c r="M329" s="125">
        <f t="shared" si="166"/>
        <v>0</v>
      </c>
      <c r="N329" s="138">
        <f>N330</f>
        <v>0</v>
      </c>
      <c r="O329" s="138">
        <f>O330</f>
        <v>0</v>
      </c>
      <c r="P329" s="138">
        <f>P330</f>
        <v>5778.530809999999</v>
      </c>
      <c r="Q329" s="125">
        <f aca="true" t="shared" si="168" ref="Q329:Q334">SUM(N329:P329)</f>
        <v>5778.530809999999</v>
      </c>
      <c r="R329" s="124">
        <f>R330</f>
        <v>0</v>
      </c>
      <c r="S329" s="124">
        <f>S330</f>
        <v>0</v>
      </c>
      <c r="T329" s="124">
        <f>T330</f>
        <v>0</v>
      </c>
      <c r="U329" s="125">
        <f t="shared" si="167"/>
        <v>0</v>
      </c>
    </row>
    <row r="330" spans="1:21" ht="64.5" customHeight="1">
      <c r="A330" s="167" t="s">
        <v>298</v>
      </c>
      <c r="B330" s="62"/>
      <c r="C330" s="63"/>
      <c r="D330" s="52"/>
      <c r="E330" s="119">
        <f t="shared" si="164"/>
        <v>5778.530809999999</v>
      </c>
      <c r="F330" s="124">
        <f>F331+F333</f>
        <v>0</v>
      </c>
      <c r="G330" s="124">
        <f>G331+G333</f>
        <v>0</v>
      </c>
      <c r="H330" s="124">
        <f>H331+H333</f>
        <v>0</v>
      </c>
      <c r="I330" s="125">
        <f t="shared" si="165"/>
        <v>0</v>
      </c>
      <c r="J330" s="124">
        <f>J331+J333</f>
        <v>0</v>
      </c>
      <c r="K330" s="124">
        <f>K331+K333</f>
        <v>0</v>
      </c>
      <c r="L330" s="138">
        <f>L331+L333</f>
        <v>0</v>
      </c>
      <c r="M330" s="125">
        <f t="shared" si="166"/>
        <v>0</v>
      </c>
      <c r="N330" s="138">
        <f>N331+N333</f>
        <v>0</v>
      </c>
      <c r="O330" s="138">
        <f>O331+O333</f>
        <v>0</v>
      </c>
      <c r="P330" s="138">
        <f>P331+P333</f>
        <v>5778.530809999999</v>
      </c>
      <c r="Q330" s="125">
        <f t="shared" si="168"/>
        <v>5778.530809999999</v>
      </c>
      <c r="R330" s="124">
        <f>R331+R333</f>
        <v>0</v>
      </c>
      <c r="S330" s="124">
        <f>S331+S333</f>
        <v>0</v>
      </c>
      <c r="T330" s="124">
        <f>T331+T333</f>
        <v>0</v>
      </c>
      <c r="U330" s="125">
        <f t="shared" si="167"/>
        <v>0</v>
      </c>
    </row>
    <row r="331" spans="1:21" ht="65.25" customHeight="1">
      <c r="A331" s="168" t="s">
        <v>296</v>
      </c>
      <c r="B331" s="169">
        <v>300</v>
      </c>
      <c r="C331" s="63"/>
      <c r="D331" s="52"/>
      <c r="E331" s="138">
        <f t="shared" si="164"/>
        <v>5031.18244</v>
      </c>
      <c r="F331" s="138">
        <f>F332</f>
        <v>0</v>
      </c>
      <c r="G331" s="138">
        <f>G332</f>
        <v>0</v>
      </c>
      <c r="H331" s="138">
        <f>H332</f>
        <v>0</v>
      </c>
      <c r="I331" s="229">
        <f t="shared" si="165"/>
        <v>0</v>
      </c>
      <c r="J331" s="138">
        <f>J332</f>
        <v>0</v>
      </c>
      <c r="K331" s="138">
        <f>K332</f>
        <v>0</v>
      </c>
      <c r="L331" s="138">
        <f>L332</f>
        <v>0</v>
      </c>
      <c r="M331" s="229">
        <f t="shared" si="166"/>
        <v>0</v>
      </c>
      <c r="N331" s="138">
        <f>N332</f>
        <v>0</v>
      </c>
      <c r="O331" s="138">
        <f>O332</f>
        <v>0</v>
      </c>
      <c r="P331" s="138">
        <f>P332</f>
        <v>5031.18244</v>
      </c>
      <c r="Q331" s="229">
        <f t="shared" si="168"/>
        <v>5031.18244</v>
      </c>
      <c r="R331" s="138">
        <f>R332</f>
        <v>0</v>
      </c>
      <c r="S331" s="138">
        <f>S332</f>
        <v>0</v>
      </c>
      <c r="T331" s="138">
        <f>T332</f>
        <v>0</v>
      </c>
      <c r="U331" s="229">
        <f t="shared" si="167"/>
        <v>0</v>
      </c>
    </row>
    <row r="332" spans="1:21" ht="16.5" customHeight="1">
      <c r="A332" s="137" t="s">
        <v>306</v>
      </c>
      <c r="B332" s="169">
        <v>322</v>
      </c>
      <c r="C332" s="63" t="s">
        <v>260</v>
      </c>
      <c r="D332" s="52"/>
      <c r="E332" s="138">
        <f t="shared" si="164"/>
        <v>5031.18244</v>
      </c>
      <c r="F332" s="138"/>
      <c r="G332" s="138"/>
      <c r="H332" s="138"/>
      <c r="I332" s="229">
        <f t="shared" si="165"/>
        <v>0</v>
      </c>
      <c r="J332" s="138"/>
      <c r="K332" s="138"/>
      <c r="L332" s="138">
        <f>5031.18244-5031.18244</f>
        <v>0</v>
      </c>
      <c r="M332" s="229">
        <f t="shared" si="166"/>
        <v>0</v>
      </c>
      <c r="N332" s="138"/>
      <c r="O332" s="138">
        <f>5031.18244-5031.18244</f>
        <v>0</v>
      </c>
      <c r="P332" s="138">
        <v>5031.18244</v>
      </c>
      <c r="Q332" s="229">
        <f t="shared" si="168"/>
        <v>5031.18244</v>
      </c>
      <c r="R332" s="138"/>
      <c r="S332" s="138"/>
      <c r="T332" s="138"/>
      <c r="U332" s="229">
        <f t="shared" si="167"/>
        <v>0</v>
      </c>
    </row>
    <row r="333" spans="1:21" ht="64.5" customHeight="1">
      <c r="A333" s="168" t="s">
        <v>297</v>
      </c>
      <c r="B333" s="169">
        <v>300</v>
      </c>
      <c r="C333" s="63"/>
      <c r="D333" s="52"/>
      <c r="E333" s="138">
        <f t="shared" si="164"/>
        <v>747.34837</v>
      </c>
      <c r="F333" s="138">
        <f>F334</f>
        <v>0</v>
      </c>
      <c r="G333" s="138">
        <f>G334</f>
        <v>0</v>
      </c>
      <c r="H333" s="138">
        <f>H334</f>
        <v>0</v>
      </c>
      <c r="I333" s="229">
        <f t="shared" si="165"/>
        <v>0</v>
      </c>
      <c r="J333" s="138">
        <f>J334</f>
        <v>0</v>
      </c>
      <c r="K333" s="138">
        <f>K334</f>
        <v>0</v>
      </c>
      <c r="L333" s="138">
        <f>L334</f>
        <v>0</v>
      </c>
      <c r="M333" s="229">
        <f t="shared" si="166"/>
        <v>0</v>
      </c>
      <c r="N333" s="138">
        <f>N334</f>
        <v>0</v>
      </c>
      <c r="O333" s="138">
        <f>O334</f>
        <v>0</v>
      </c>
      <c r="P333" s="138">
        <f>P334</f>
        <v>747.34837</v>
      </c>
      <c r="Q333" s="229">
        <f t="shared" si="168"/>
        <v>747.34837</v>
      </c>
      <c r="R333" s="138">
        <f>R334</f>
        <v>0</v>
      </c>
      <c r="S333" s="138">
        <f>S334</f>
        <v>0</v>
      </c>
      <c r="T333" s="138">
        <f>T334</f>
        <v>0</v>
      </c>
      <c r="U333" s="229">
        <f t="shared" si="167"/>
        <v>0</v>
      </c>
    </row>
    <row r="334" spans="1:21" ht="16.5" customHeight="1">
      <c r="A334" s="106" t="s">
        <v>281</v>
      </c>
      <c r="B334" s="169">
        <v>322</v>
      </c>
      <c r="C334" s="63" t="s">
        <v>260</v>
      </c>
      <c r="D334" s="52"/>
      <c r="E334" s="138">
        <f t="shared" si="164"/>
        <v>747.34837</v>
      </c>
      <c r="F334" s="138"/>
      <c r="G334" s="138"/>
      <c r="H334" s="138"/>
      <c r="I334" s="229">
        <f t="shared" si="165"/>
        <v>0</v>
      </c>
      <c r="J334" s="138"/>
      <c r="K334" s="138"/>
      <c r="L334" s="138">
        <f>559.02027-559.02027</f>
        <v>0</v>
      </c>
      <c r="M334" s="229">
        <f t="shared" si="166"/>
        <v>0</v>
      </c>
      <c r="N334" s="138"/>
      <c r="O334" s="138">
        <f>559.02027+188.3281-747.34837</f>
        <v>0</v>
      </c>
      <c r="P334" s="138">
        <v>747.34837</v>
      </c>
      <c r="Q334" s="229">
        <f t="shared" si="168"/>
        <v>747.34837</v>
      </c>
      <c r="R334" s="138"/>
      <c r="S334" s="138"/>
      <c r="T334" s="138"/>
      <c r="U334" s="229">
        <f t="shared" si="167"/>
        <v>0</v>
      </c>
    </row>
    <row r="335" spans="1:21" ht="84.75" customHeight="1">
      <c r="A335" s="139" t="s">
        <v>298</v>
      </c>
      <c r="B335" s="171"/>
      <c r="C335" s="201"/>
      <c r="D335" s="202"/>
      <c r="E335" s="172">
        <f>I335+M335+Q335+U335</f>
        <v>0</v>
      </c>
      <c r="F335" s="172">
        <f>F336+F338</f>
        <v>0</v>
      </c>
      <c r="G335" s="172">
        <f>G336+G338</f>
        <v>0</v>
      </c>
      <c r="H335" s="172">
        <f>H336+H338</f>
        <v>0</v>
      </c>
      <c r="I335" s="230">
        <f>SUM(F335:H335)</f>
        <v>0</v>
      </c>
      <c r="J335" s="172">
        <f>J336+J338</f>
        <v>0</v>
      </c>
      <c r="K335" s="172">
        <f>K336+K338</f>
        <v>0</v>
      </c>
      <c r="L335" s="172">
        <f>L336+L338</f>
        <v>0</v>
      </c>
      <c r="M335" s="230">
        <f>SUM(J335:L335)</f>
        <v>0</v>
      </c>
      <c r="N335" s="172">
        <f>N336+N338</f>
        <v>0</v>
      </c>
      <c r="O335" s="172">
        <f>O336+O338</f>
        <v>5778.530809999999</v>
      </c>
      <c r="P335" s="172">
        <f>P336+P338</f>
        <v>-5778.530809999999</v>
      </c>
      <c r="Q335" s="230">
        <f>SUM(N335:P335)</f>
        <v>0</v>
      </c>
      <c r="R335" s="172">
        <f>R336+R338</f>
        <v>0</v>
      </c>
      <c r="S335" s="172">
        <f>S336+S338</f>
        <v>0</v>
      </c>
      <c r="T335" s="172">
        <f>T336+T338</f>
        <v>0</v>
      </c>
      <c r="U335" s="230">
        <f>SUM(R335:T335)</f>
        <v>0</v>
      </c>
    </row>
    <row r="336" spans="1:21" ht="52.5" customHeight="1">
      <c r="A336" s="137" t="s">
        <v>313</v>
      </c>
      <c r="B336" s="171">
        <v>800</v>
      </c>
      <c r="C336" s="201"/>
      <c r="D336" s="202"/>
      <c r="E336" s="138">
        <f>I336+M336+Q336+U336</f>
        <v>0</v>
      </c>
      <c r="F336" s="138">
        <f>F337</f>
        <v>0</v>
      </c>
      <c r="G336" s="138">
        <f>G337</f>
        <v>0</v>
      </c>
      <c r="H336" s="138">
        <f>H337</f>
        <v>0</v>
      </c>
      <c r="I336" s="229">
        <f>SUM(F336:H336)</f>
        <v>0</v>
      </c>
      <c r="J336" s="138">
        <f>J337</f>
        <v>0</v>
      </c>
      <c r="K336" s="138">
        <f>K337</f>
        <v>0</v>
      </c>
      <c r="L336" s="138">
        <f>L337</f>
        <v>0</v>
      </c>
      <c r="M336" s="229">
        <f>SUM(J336:L336)</f>
        <v>0</v>
      </c>
      <c r="N336" s="138">
        <f>N337</f>
        <v>0</v>
      </c>
      <c r="O336" s="138">
        <f>O337</f>
        <v>5031.18244</v>
      </c>
      <c r="P336" s="138">
        <f>P337</f>
        <v>-5031.18244</v>
      </c>
      <c r="Q336" s="229">
        <f>SUM(N336:P336)</f>
        <v>0</v>
      </c>
      <c r="R336" s="138">
        <f>R337</f>
        <v>0</v>
      </c>
      <c r="S336" s="138">
        <f>S337</f>
        <v>0</v>
      </c>
      <c r="T336" s="138">
        <f>T337</f>
        <v>0</v>
      </c>
      <c r="U336" s="229">
        <f>SUM(R336:T336)</f>
        <v>0</v>
      </c>
    </row>
    <row r="337" spans="1:21" ht="16.5" customHeight="1">
      <c r="A337" s="137" t="s">
        <v>306</v>
      </c>
      <c r="B337" s="171">
        <v>853</v>
      </c>
      <c r="C337" s="201" t="s">
        <v>107</v>
      </c>
      <c r="D337" s="202"/>
      <c r="E337" s="138">
        <f>I337+M337+Q337+U337</f>
        <v>0</v>
      </c>
      <c r="F337" s="138"/>
      <c r="G337" s="138"/>
      <c r="H337" s="138"/>
      <c r="I337" s="229">
        <f>F337+G337+H337</f>
        <v>0</v>
      </c>
      <c r="J337" s="138"/>
      <c r="K337" s="138"/>
      <c r="L337" s="138">
        <f>5031.18244-5031.18244</f>
        <v>0</v>
      </c>
      <c r="M337" s="229">
        <f>J337+K337+L337</f>
        <v>0</v>
      </c>
      <c r="N337" s="138"/>
      <c r="O337" s="138">
        <v>5031.18244</v>
      </c>
      <c r="P337" s="138">
        <v>-5031.18244</v>
      </c>
      <c r="Q337" s="229">
        <f>N337+O337+P337</f>
        <v>0</v>
      </c>
      <c r="R337" s="138"/>
      <c r="S337" s="138"/>
      <c r="T337" s="138"/>
      <c r="U337" s="229">
        <f>R337+S337+T337</f>
        <v>0</v>
      </c>
    </row>
    <row r="338" spans="1:21" ht="81" customHeight="1">
      <c r="A338" s="93" t="s">
        <v>297</v>
      </c>
      <c r="B338" s="171">
        <v>800</v>
      </c>
      <c r="C338" s="201"/>
      <c r="D338" s="202"/>
      <c r="E338" s="138">
        <f>I338+M338+Q338+U338</f>
        <v>0</v>
      </c>
      <c r="F338" s="138">
        <f>F339</f>
        <v>0</v>
      </c>
      <c r="G338" s="138">
        <f>G339</f>
        <v>0</v>
      </c>
      <c r="H338" s="138">
        <f>H339</f>
        <v>0</v>
      </c>
      <c r="I338" s="229">
        <f>SUM(F338:H338)</f>
        <v>0</v>
      </c>
      <c r="J338" s="138">
        <f>J339</f>
        <v>0</v>
      </c>
      <c r="K338" s="138">
        <f>K339</f>
        <v>0</v>
      </c>
      <c r="L338" s="138">
        <f>L339</f>
        <v>0</v>
      </c>
      <c r="M338" s="229">
        <f>SUM(J338:L338)</f>
        <v>0</v>
      </c>
      <c r="N338" s="138">
        <f>N339</f>
        <v>0</v>
      </c>
      <c r="O338" s="138">
        <f>O339</f>
        <v>747.34837</v>
      </c>
      <c r="P338" s="138">
        <f>P339</f>
        <v>-747.34837</v>
      </c>
      <c r="Q338" s="229">
        <f>SUM(N338:P338)</f>
        <v>0</v>
      </c>
      <c r="R338" s="138">
        <f>R339</f>
        <v>0</v>
      </c>
      <c r="S338" s="138">
        <f>S339</f>
        <v>0</v>
      </c>
      <c r="T338" s="138">
        <f>T339</f>
        <v>0</v>
      </c>
      <c r="U338" s="229">
        <f>SUM(R338:T338)</f>
        <v>0</v>
      </c>
    </row>
    <row r="339" spans="1:21" ht="16.5" customHeight="1">
      <c r="A339" s="173" t="s">
        <v>281</v>
      </c>
      <c r="B339" s="171">
        <v>853</v>
      </c>
      <c r="C339" s="201" t="s">
        <v>107</v>
      </c>
      <c r="D339" s="202"/>
      <c r="E339" s="138">
        <f>I339+M339+Q339+U339</f>
        <v>0</v>
      </c>
      <c r="F339" s="138"/>
      <c r="G339" s="138"/>
      <c r="H339" s="138"/>
      <c r="I339" s="229">
        <f>SUM(F339:H339)</f>
        <v>0</v>
      </c>
      <c r="J339" s="138"/>
      <c r="K339" s="138"/>
      <c r="L339" s="138">
        <f>559.02027-559.02027</f>
        <v>0</v>
      </c>
      <c r="M339" s="229">
        <f>SUM(J339:L339)</f>
        <v>0</v>
      </c>
      <c r="N339" s="138"/>
      <c r="O339" s="138">
        <v>747.34837</v>
      </c>
      <c r="P339" s="138">
        <v>-747.34837</v>
      </c>
      <c r="Q339" s="229">
        <f>SUM(N339:P339)</f>
        <v>0</v>
      </c>
      <c r="R339" s="138"/>
      <c r="S339" s="138"/>
      <c r="T339" s="138"/>
      <c r="U339" s="229">
        <f>SUM(R339:T339)</f>
        <v>0</v>
      </c>
    </row>
    <row r="340" spans="1:21" ht="42" customHeight="1">
      <c r="A340" s="89" t="s">
        <v>164</v>
      </c>
      <c r="B340" s="60">
        <v>500</v>
      </c>
      <c r="C340" s="179"/>
      <c r="D340" s="180"/>
      <c r="E340" s="116">
        <f t="shared" si="164"/>
        <v>617.592</v>
      </c>
      <c r="F340" s="116">
        <f>F341</f>
        <v>0</v>
      </c>
      <c r="G340" s="116">
        <f>G341</f>
        <v>0</v>
      </c>
      <c r="H340" s="116">
        <f>H341</f>
        <v>0</v>
      </c>
      <c r="I340" s="116">
        <f t="shared" si="165"/>
        <v>0</v>
      </c>
      <c r="J340" s="158">
        <f>J341</f>
        <v>617.592</v>
      </c>
      <c r="K340" s="158">
        <f>K341</f>
        <v>0</v>
      </c>
      <c r="L340" s="158">
        <f>L341</f>
        <v>0</v>
      </c>
      <c r="M340" s="116">
        <f t="shared" si="166"/>
        <v>617.592</v>
      </c>
      <c r="N340" s="158">
        <f>N341</f>
        <v>0</v>
      </c>
      <c r="O340" s="158">
        <f>O341</f>
        <v>0</v>
      </c>
      <c r="P340" s="158">
        <f>P341</f>
        <v>0</v>
      </c>
      <c r="Q340" s="116">
        <f>SUM(N340:P340)</f>
        <v>0</v>
      </c>
      <c r="R340" s="116">
        <f>R341</f>
        <v>0</v>
      </c>
      <c r="S340" s="116">
        <f>S341</f>
        <v>0</v>
      </c>
      <c r="T340" s="116">
        <f>T341</f>
        <v>0</v>
      </c>
      <c r="U340" s="116">
        <f t="shared" si="167"/>
        <v>0</v>
      </c>
    </row>
    <row r="341" spans="1:21" ht="12.75">
      <c r="A341" s="88" t="s">
        <v>129</v>
      </c>
      <c r="B341" s="55">
        <v>540</v>
      </c>
      <c r="C341" s="195" t="s">
        <v>130</v>
      </c>
      <c r="D341" s="196"/>
      <c r="E341" s="117">
        <f t="shared" si="164"/>
        <v>617.592</v>
      </c>
      <c r="F341" s="117"/>
      <c r="G341" s="117"/>
      <c r="H341" s="117"/>
      <c r="I341" s="109">
        <f t="shared" si="165"/>
        <v>0</v>
      </c>
      <c r="J341" s="133">
        <v>617.592</v>
      </c>
      <c r="K341" s="133"/>
      <c r="L341" s="133">
        <f>0.008-0.008</f>
        <v>0</v>
      </c>
      <c r="M341" s="109">
        <f t="shared" si="166"/>
        <v>617.592</v>
      </c>
      <c r="N341" s="133"/>
      <c r="O341" s="133">
        <f>0.008-0.008</f>
        <v>0</v>
      </c>
      <c r="P341" s="133"/>
      <c r="Q341" s="109">
        <f>SUM(N341:P341)</f>
        <v>0</v>
      </c>
      <c r="R341" s="117"/>
      <c r="S341" s="117"/>
      <c r="T341" s="117"/>
      <c r="U341" s="109">
        <f t="shared" si="167"/>
        <v>0</v>
      </c>
    </row>
    <row r="342" spans="1:21" ht="43.5" customHeight="1">
      <c r="A342" s="89" t="s">
        <v>230</v>
      </c>
      <c r="B342" s="60">
        <v>500</v>
      </c>
      <c r="C342" s="179"/>
      <c r="D342" s="180"/>
      <c r="E342" s="116">
        <f t="shared" si="164"/>
        <v>147.42000000000002</v>
      </c>
      <c r="F342" s="116">
        <f>F343</f>
        <v>0</v>
      </c>
      <c r="G342" s="116">
        <f>G343</f>
        <v>0</v>
      </c>
      <c r="H342" s="116">
        <f>H343</f>
        <v>0</v>
      </c>
      <c r="I342" s="116">
        <f t="shared" si="165"/>
        <v>0</v>
      </c>
      <c r="J342" s="158">
        <f>J343</f>
        <v>0</v>
      </c>
      <c r="K342" s="158">
        <f>K343</f>
        <v>0</v>
      </c>
      <c r="L342" s="158">
        <f>L343</f>
        <v>0</v>
      </c>
      <c r="M342" s="116">
        <f t="shared" si="166"/>
        <v>0</v>
      </c>
      <c r="N342" s="158">
        <f>N343</f>
        <v>0</v>
      </c>
      <c r="O342" s="158">
        <f>O343</f>
        <v>0</v>
      </c>
      <c r="P342" s="158">
        <f>P343</f>
        <v>0</v>
      </c>
      <c r="Q342" s="116">
        <f aca="true" t="shared" si="169" ref="Q342:Q347">SUM(N342:P342)</f>
        <v>0</v>
      </c>
      <c r="R342" s="116">
        <f>R343</f>
        <v>147.42000000000002</v>
      </c>
      <c r="S342" s="116">
        <f>S343</f>
        <v>0</v>
      </c>
      <c r="T342" s="116">
        <f>T343</f>
        <v>0</v>
      </c>
      <c r="U342" s="116">
        <f t="shared" si="167"/>
        <v>147.42000000000002</v>
      </c>
    </row>
    <row r="343" spans="1:21" ht="12.75">
      <c r="A343" s="88" t="s">
        <v>129</v>
      </c>
      <c r="B343" s="55">
        <v>540</v>
      </c>
      <c r="C343" s="195" t="s">
        <v>130</v>
      </c>
      <c r="D343" s="196"/>
      <c r="E343" s="117">
        <f t="shared" si="164"/>
        <v>147.42000000000002</v>
      </c>
      <c r="F343" s="117">
        <v>0</v>
      </c>
      <c r="G343" s="117">
        <v>0</v>
      </c>
      <c r="H343" s="117">
        <v>0</v>
      </c>
      <c r="I343" s="109">
        <f t="shared" si="165"/>
        <v>0</v>
      </c>
      <c r="J343" s="133">
        <v>0</v>
      </c>
      <c r="K343" s="133">
        <v>0</v>
      </c>
      <c r="L343" s="133">
        <v>0</v>
      </c>
      <c r="M343" s="109">
        <f t="shared" si="166"/>
        <v>0</v>
      </c>
      <c r="N343" s="133"/>
      <c r="O343" s="133"/>
      <c r="P343" s="133"/>
      <c r="Q343" s="109">
        <f t="shared" si="169"/>
        <v>0</v>
      </c>
      <c r="R343" s="117">
        <f>122.9+24.52</f>
        <v>147.42000000000002</v>
      </c>
      <c r="S343" s="117">
        <v>0</v>
      </c>
      <c r="T343" s="117">
        <v>0</v>
      </c>
      <c r="U343" s="109">
        <f t="shared" si="167"/>
        <v>147.42000000000002</v>
      </c>
    </row>
    <row r="344" spans="1:21" ht="24.75" customHeight="1" hidden="1">
      <c r="A344" s="89" t="s">
        <v>216</v>
      </c>
      <c r="B344" s="60">
        <v>200</v>
      </c>
      <c r="C344" s="56"/>
      <c r="D344" s="52"/>
      <c r="E344" s="116">
        <f t="shared" si="164"/>
        <v>0</v>
      </c>
      <c r="F344" s="119">
        <f>F345</f>
        <v>0</v>
      </c>
      <c r="G344" s="119">
        <f>G345</f>
        <v>0</v>
      </c>
      <c r="H344" s="119">
        <f>H345</f>
        <v>0</v>
      </c>
      <c r="I344" s="116">
        <f t="shared" si="165"/>
        <v>0</v>
      </c>
      <c r="J344" s="161">
        <f>J345</f>
        <v>0</v>
      </c>
      <c r="K344" s="161">
        <f>K345</f>
        <v>0</v>
      </c>
      <c r="L344" s="161">
        <f>L345</f>
        <v>0</v>
      </c>
      <c r="M344" s="116">
        <f t="shared" si="166"/>
        <v>0</v>
      </c>
      <c r="N344" s="161">
        <f>N345</f>
        <v>0</v>
      </c>
      <c r="O344" s="161">
        <f>O345</f>
        <v>0</v>
      </c>
      <c r="P344" s="161">
        <f>P345</f>
        <v>0</v>
      </c>
      <c r="Q344" s="116">
        <f t="shared" si="169"/>
        <v>0</v>
      </c>
      <c r="R344" s="119">
        <f>R345</f>
        <v>0</v>
      </c>
      <c r="S344" s="119">
        <f>S345</f>
        <v>0</v>
      </c>
      <c r="T344" s="119">
        <f>T345</f>
        <v>0</v>
      </c>
      <c r="U344" s="116">
        <f t="shared" si="167"/>
        <v>0</v>
      </c>
    </row>
    <row r="345" spans="1:21" ht="31.5" customHeight="1" hidden="1">
      <c r="A345" s="90" t="s">
        <v>217</v>
      </c>
      <c r="B345" s="57">
        <v>240</v>
      </c>
      <c r="C345" s="59"/>
      <c r="D345" s="54"/>
      <c r="E345" s="122">
        <f t="shared" si="164"/>
        <v>0</v>
      </c>
      <c r="F345" s="118">
        <f>F346+F347</f>
        <v>0</v>
      </c>
      <c r="G345" s="118">
        <f>G346+G347</f>
        <v>0</v>
      </c>
      <c r="H345" s="118">
        <f>H346+H347</f>
        <v>0</v>
      </c>
      <c r="I345" s="122">
        <f t="shared" si="165"/>
        <v>0</v>
      </c>
      <c r="J345" s="134">
        <f>J346+J347</f>
        <v>0</v>
      </c>
      <c r="K345" s="134">
        <f>K346+K347</f>
        <v>0</v>
      </c>
      <c r="L345" s="134">
        <f>L346+L347</f>
        <v>0</v>
      </c>
      <c r="M345" s="122">
        <f t="shared" si="166"/>
        <v>0</v>
      </c>
      <c r="N345" s="134">
        <f>N346+N347</f>
        <v>0</v>
      </c>
      <c r="O345" s="134">
        <f>O346+O347</f>
        <v>0</v>
      </c>
      <c r="P345" s="134">
        <f>P346+P347</f>
        <v>0</v>
      </c>
      <c r="Q345" s="122">
        <f t="shared" si="169"/>
        <v>0</v>
      </c>
      <c r="R345" s="118">
        <f>R346+R347</f>
        <v>0</v>
      </c>
      <c r="S345" s="118">
        <f>S346+S347</f>
        <v>0</v>
      </c>
      <c r="T345" s="118">
        <f>T346+T347</f>
        <v>0</v>
      </c>
      <c r="U345" s="122">
        <f>R345+S345+T345</f>
        <v>0</v>
      </c>
    </row>
    <row r="346" spans="1:21" ht="12.75" hidden="1">
      <c r="A346" s="88" t="s">
        <v>133</v>
      </c>
      <c r="B346" s="55">
        <v>244</v>
      </c>
      <c r="C346" s="56" t="s">
        <v>107</v>
      </c>
      <c r="D346" s="52"/>
      <c r="E346" s="117">
        <f t="shared" si="164"/>
        <v>0</v>
      </c>
      <c r="F346" s="117"/>
      <c r="G346" s="117"/>
      <c r="H346" s="117"/>
      <c r="I346" s="109">
        <f t="shared" si="165"/>
        <v>0</v>
      </c>
      <c r="J346" s="133"/>
      <c r="K346" s="133"/>
      <c r="L346" s="133"/>
      <c r="M346" s="109">
        <f t="shared" si="166"/>
        <v>0</v>
      </c>
      <c r="N346" s="133"/>
      <c r="O346" s="133"/>
      <c r="P346" s="133"/>
      <c r="Q346" s="109">
        <f t="shared" si="169"/>
        <v>0</v>
      </c>
      <c r="R346" s="117"/>
      <c r="S346" s="117"/>
      <c r="T346" s="117"/>
      <c r="U346" s="109">
        <f>R346+S346+T346</f>
        <v>0</v>
      </c>
    </row>
    <row r="347" spans="1:21" ht="12.75" hidden="1">
      <c r="A347" s="88" t="s">
        <v>108</v>
      </c>
      <c r="B347" s="55">
        <v>244</v>
      </c>
      <c r="C347" s="56" t="s">
        <v>109</v>
      </c>
      <c r="D347" s="52"/>
      <c r="E347" s="117">
        <f t="shared" si="164"/>
        <v>0</v>
      </c>
      <c r="F347" s="117"/>
      <c r="G347" s="117"/>
      <c r="H347" s="117"/>
      <c r="I347" s="109">
        <f t="shared" si="165"/>
        <v>0</v>
      </c>
      <c r="J347" s="133"/>
      <c r="K347" s="133"/>
      <c r="L347" s="133"/>
      <c r="M347" s="109">
        <f t="shared" si="166"/>
        <v>0</v>
      </c>
      <c r="N347" s="133"/>
      <c r="O347" s="133"/>
      <c r="P347" s="133"/>
      <c r="Q347" s="109">
        <f t="shared" si="169"/>
        <v>0</v>
      </c>
      <c r="R347" s="117"/>
      <c r="S347" s="117"/>
      <c r="T347" s="117"/>
      <c r="U347" s="109">
        <f>R347+S347+T347</f>
        <v>0</v>
      </c>
    </row>
    <row r="348" spans="1:21" ht="42" customHeight="1" hidden="1">
      <c r="A348" s="89" t="s">
        <v>215</v>
      </c>
      <c r="B348" s="60">
        <v>200</v>
      </c>
      <c r="C348" s="64"/>
      <c r="D348" s="53"/>
      <c r="E348" s="116">
        <f>Q348+U348+M348+I348</f>
        <v>0</v>
      </c>
      <c r="F348" s="116">
        <f>F349+F351</f>
        <v>0</v>
      </c>
      <c r="G348" s="116">
        <f>G349+G351</f>
        <v>0</v>
      </c>
      <c r="H348" s="116">
        <f>H349+H351</f>
        <v>0</v>
      </c>
      <c r="I348" s="116">
        <f>F348+G348+H348</f>
        <v>0</v>
      </c>
      <c r="J348" s="158">
        <f>J349+J351</f>
        <v>0</v>
      </c>
      <c r="K348" s="158">
        <f>K349+K351</f>
        <v>0</v>
      </c>
      <c r="L348" s="158">
        <f>L349+L351</f>
        <v>0</v>
      </c>
      <c r="M348" s="116">
        <f t="shared" si="166"/>
        <v>0</v>
      </c>
      <c r="N348" s="158">
        <f>N349+N351</f>
        <v>0</v>
      </c>
      <c r="O348" s="158">
        <f>O349+O351</f>
        <v>0</v>
      </c>
      <c r="P348" s="158">
        <f>P349+P351</f>
        <v>0</v>
      </c>
      <c r="Q348" s="116">
        <f>SUM(N348:P348)</f>
        <v>0</v>
      </c>
      <c r="R348" s="116">
        <f>R349+R351</f>
        <v>0</v>
      </c>
      <c r="S348" s="116">
        <f>S349+S351</f>
        <v>0</v>
      </c>
      <c r="T348" s="116">
        <f>T349+T351</f>
        <v>0</v>
      </c>
      <c r="U348" s="116">
        <f>SUM(R348:T348)</f>
        <v>0</v>
      </c>
    </row>
    <row r="349" spans="1:21" ht="30.75" customHeight="1" hidden="1">
      <c r="A349" s="90" t="s">
        <v>231</v>
      </c>
      <c r="B349" s="55">
        <v>240</v>
      </c>
      <c r="C349" s="64"/>
      <c r="D349" s="53"/>
      <c r="E349" s="122">
        <f aca="true" t="shared" si="170" ref="E349:E355">I349+M349+Q349+U349</f>
        <v>0</v>
      </c>
      <c r="F349" s="118">
        <f>F350</f>
        <v>0</v>
      </c>
      <c r="G349" s="118">
        <f>G350</f>
        <v>0</v>
      </c>
      <c r="H349" s="118">
        <f>H350</f>
        <v>0</v>
      </c>
      <c r="I349" s="122">
        <f>SUM(F349:H349)</f>
        <v>0</v>
      </c>
      <c r="J349" s="134">
        <f>J350</f>
        <v>0</v>
      </c>
      <c r="K349" s="134">
        <f>K350</f>
        <v>0</v>
      </c>
      <c r="L349" s="134">
        <f>L350</f>
        <v>0</v>
      </c>
      <c r="M349" s="122">
        <f t="shared" si="166"/>
        <v>0</v>
      </c>
      <c r="N349" s="134">
        <f>N350</f>
        <v>0</v>
      </c>
      <c r="O349" s="134">
        <f>O350</f>
        <v>0</v>
      </c>
      <c r="P349" s="134">
        <f>P350</f>
        <v>0</v>
      </c>
      <c r="Q349" s="122">
        <f>SUM(N349:P349)</f>
        <v>0</v>
      </c>
      <c r="R349" s="118">
        <f>R350</f>
        <v>0</v>
      </c>
      <c r="S349" s="118">
        <f>S350</f>
        <v>0</v>
      </c>
      <c r="T349" s="118">
        <f>T350</f>
        <v>0</v>
      </c>
      <c r="U349" s="122">
        <f aca="true" t="shared" si="171" ref="U349:U355">R349+S349+T349</f>
        <v>0</v>
      </c>
    </row>
    <row r="350" spans="1:21" ht="14.25" customHeight="1" hidden="1">
      <c r="A350" s="88" t="s">
        <v>147</v>
      </c>
      <c r="B350" s="55">
        <v>244</v>
      </c>
      <c r="C350" s="56" t="s">
        <v>105</v>
      </c>
      <c r="D350" s="53"/>
      <c r="E350" s="117">
        <f t="shared" si="170"/>
        <v>0</v>
      </c>
      <c r="F350" s="117"/>
      <c r="G350" s="117"/>
      <c r="H350" s="117"/>
      <c r="I350" s="109">
        <f>SUM(F350:H350)</f>
        <v>0</v>
      </c>
      <c r="J350" s="133"/>
      <c r="K350" s="133"/>
      <c r="L350" s="133"/>
      <c r="M350" s="109">
        <f t="shared" si="166"/>
        <v>0</v>
      </c>
      <c r="N350" s="133"/>
      <c r="O350" s="133"/>
      <c r="P350" s="133"/>
      <c r="Q350" s="109">
        <f>SUM(N350:P350)</f>
        <v>0</v>
      </c>
      <c r="R350" s="117"/>
      <c r="S350" s="117"/>
      <c r="T350" s="117"/>
      <c r="U350" s="109">
        <f t="shared" si="171"/>
        <v>0</v>
      </c>
    </row>
    <row r="351" spans="1:21" ht="64.5" customHeight="1" hidden="1">
      <c r="A351" s="90" t="s">
        <v>232</v>
      </c>
      <c r="B351" s="55">
        <v>240</v>
      </c>
      <c r="C351" s="64"/>
      <c r="D351" s="53"/>
      <c r="E351" s="122">
        <f t="shared" si="170"/>
        <v>0</v>
      </c>
      <c r="F351" s="118">
        <f>F352</f>
        <v>0</v>
      </c>
      <c r="G351" s="118">
        <f>G352</f>
        <v>0</v>
      </c>
      <c r="H351" s="118">
        <f>H352</f>
        <v>0</v>
      </c>
      <c r="I351" s="122">
        <f>SUM(F351:H351)</f>
        <v>0</v>
      </c>
      <c r="J351" s="134">
        <f>J352</f>
        <v>0</v>
      </c>
      <c r="K351" s="134">
        <f>K352</f>
        <v>0</v>
      </c>
      <c r="L351" s="134">
        <f>L352</f>
        <v>0</v>
      </c>
      <c r="M351" s="122">
        <f t="shared" si="166"/>
        <v>0</v>
      </c>
      <c r="N351" s="134">
        <f>N352</f>
        <v>0</v>
      </c>
      <c r="O351" s="134">
        <f>O352</f>
        <v>0</v>
      </c>
      <c r="P351" s="134">
        <f>P352</f>
        <v>0</v>
      </c>
      <c r="Q351" s="122">
        <f>SUM(N351:P351)</f>
        <v>0</v>
      </c>
      <c r="R351" s="118">
        <f>R352</f>
        <v>0</v>
      </c>
      <c r="S351" s="118">
        <f>S352</f>
        <v>0</v>
      </c>
      <c r="T351" s="118">
        <f>T352</f>
        <v>0</v>
      </c>
      <c r="U351" s="122">
        <f t="shared" si="171"/>
        <v>0</v>
      </c>
    </row>
    <row r="352" spans="1:21" ht="12.75" hidden="1">
      <c r="A352" s="88" t="s">
        <v>106</v>
      </c>
      <c r="B352" s="55">
        <v>244</v>
      </c>
      <c r="C352" s="56" t="s">
        <v>107</v>
      </c>
      <c r="D352" s="52"/>
      <c r="E352" s="117">
        <f t="shared" si="170"/>
        <v>0</v>
      </c>
      <c r="F352" s="117"/>
      <c r="G352" s="117"/>
      <c r="H352" s="117"/>
      <c r="I352" s="109">
        <f>SUM(F352:H352)</f>
        <v>0</v>
      </c>
      <c r="J352" s="133"/>
      <c r="K352" s="133"/>
      <c r="L352" s="133"/>
      <c r="M352" s="109">
        <f t="shared" si="166"/>
        <v>0</v>
      </c>
      <c r="N352" s="133"/>
      <c r="O352" s="133"/>
      <c r="P352" s="133"/>
      <c r="Q352" s="109">
        <f>SUM(N352:P352)</f>
        <v>0</v>
      </c>
      <c r="R352" s="117"/>
      <c r="S352" s="117"/>
      <c r="T352" s="117"/>
      <c r="U352" s="109">
        <f t="shared" si="171"/>
        <v>0</v>
      </c>
    </row>
    <row r="353" spans="1:21" ht="34.5" customHeight="1">
      <c r="A353" s="89" t="s">
        <v>214</v>
      </c>
      <c r="B353" s="60"/>
      <c r="C353" s="179"/>
      <c r="D353" s="180"/>
      <c r="E353" s="116">
        <f>I353+M353+Q353+U353</f>
        <v>5992.400000000001</v>
      </c>
      <c r="F353" s="119">
        <f>F354+F377+F382+F385+F389+F380</f>
        <v>668.51371</v>
      </c>
      <c r="G353" s="119">
        <f>G354+G377+G382+G385+G389+G380</f>
        <v>368.14995</v>
      </c>
      <c r="H353" s="119">
        <f>H354+H377+H382+H385+H389+H380</f>
        <v>351.72599</v>
      </c>
      <c r="I353" s="116">
        <f>F353+G353+H353</f>
        <v>1388.38965</v>
      </c>
      <c r="J353" s="119">
        <f>J354+J377+J382+J385+J389+J380</f>
        <v>728.4829500000001</v>
      </c>
      <c r="K353" s="119">
        <f>K354+K377+K382+K385+K389+K380</f>
        <v>551.65723</v>
      </c>
      <c r="L353" s="119">
        <f>L354+L377+L382+L385+L389+L380</f>
        <v>944.4378899999999</v>
      </c>
      <c r="M353" s="116">
        <f>J353+K353+L353</f>
        <v>2224.57807</v>
      </c>
      <c r="N353" s="161">
        <f>N354+N377+N382+N385+N389+N380</f>
        <v>84.34266</v>
      </c>
      <c r="O353" s="161">
        <f>O354+O377+O382+O385+O389+O380</f>
        <v>378.00807</v>
      </c>
      <c r="P353" s="161">
        <f>P354+P377+P382+P385+P389+P380</f>
        <v>534.8695</v>
      </c>
      <c r="Q353" s="116">
        <f>N353+O353+P353</f>
        <v>997.22023</v>
      </c>
      <c r="R353" s="119">
        <f>R354+R377+R382+R385+R389+R380</f>
        <v>670.82892</v>
      </c>
      <c r="S353" s="119">
        <f>S354+S377+S382+S385+S389+S380</f>
        <v>340.28167</v>
      </c>
      <c r="T353" s="119">
        <f>T354+T377+T382+T385+T389+T380</f>
        <v>371.10146000000003</v>
      </c>
      <c r="U353" s="116">
        <f t="shared" si="171"/>
        <v>1382.21205</v>
      </c>
    </row>
    <row r="354" spans="1:21" ht="81.75" customHeight="1">
      <c r="A354" s="166" t="s">
        <v>218</v>
      </c>
      <c r="B354" s="57">
        <v>611</v>
      </c>
      <c r="C354" s="181" t="s">
        <v>212</v>
      </c>
      <c r="D354" s="182"/>
      <c r="E354" s="122">
        <f t="shared" si="170"/>
        <v>5581</v>
      </c>
      <c r="F354" s="118">
        <f>F355+F357+F358+F359+F363+F364+F365+F366</f>
        <v>668.51371</v>
      </c>
      <c r="G354" s="118">
        <f>G355+G357+G358+G359+G363+G364+G365+G366</f>
        <v>357.07995</v>
      </c>
      <c r="H354" s="118">
        <f>H355+H357+H358+H359+H363+H364+H365+H366</f>
        <v>351.72599</v>
      </c>
      <c r="I354" s="122">
        <f>F354+G354+H354</f>
        <v>1377.31965</v>
      </c>
      <c r="J354" s="118">
        <f>J355+J357+J358+J359+J363+J364+J365+J366</f>
        <v>716.51385</v>
      </c>
      <c r="K354" s="118">
        <f>K355+K357+K358+K359+K363+K364+K365+K366</f>
        <v>532.65723</v>
      </c>
      <c r="L354" s="134">
        <f>L355+L357+L358+L359+L363+L364+L365+L366</f>
        <v>919.4388899999999</v>
      </c>
      <c r="M354" s="122">
        <f>J354+K354+L354</f>
        <v>2168.60997</v>
      </c>
      <c r="N354" s="134">
        <f>N355+N357+N358+N359+N363+N364+N365+N366</f>
        <v>84.34266</v>
      </c>
      <c r="O354" s="134">
        <f>O355+O357+O358+O359+O363+O364+O365+O366</f>
        <v>258.00807</v>
      </c>
      <c r="P354" s="134">
        <f>P355+P357+P358+P359+P363+P364+P365+P366</f>
        <v>427.53573000000006</v>
      </c>
      <c r="Q354" s="122">
        <f>N354+O354+P354</f>
        <v>769.88646</v>
      </c>
      <c r="R354" s="118">
        <f>R355+R357+R358+R359+R363+R364+R365+R366</f>
        <v>573.80079</v>
      </c>
      <c r="S354" s="118">
        <f>S355+S357+S358+S359+S363+S364+S365+S366</f>
        <v>333.66167</v>
      </c>
      <c r="T354" s="118">
        <f>T355+T357+T358+T359+T363+T364+T365+T366</f>
        <v>357.72146000000004</v>
      </c>
      <c r="U354" s="122">
        <f>R354+S354+T354</f>
        <v>1265.18392</v>
      </c>
    </row>
    <row r="355" spans="1:21" ht="12.75">
      <c r="A355" s="88" t="s">
        <v>90</v>
      </c>
      <c r="B355" s="55">
        <v>611</v>
      </c>
      <c r="C355" s="56" t="s">
        <v>150</v>
      </c>
      <c r="D355" s="52"/>
      <c r="E355" s="117">
        <f t="shared" si="170"/>
        <v>2386.34</v>
      </c>
      <c r="F355" s="117">
        <v>33.87722</v>
      </c>
      <c r="G355" s="117">
        <v>206.81189</v>
      </c>
      <c r="H355" s="117">
        <f>408.06089-202.78571</f>
        <v>205.27517999999998</v>
      </c>
      <c r="I355" s="109">
        <f>F355+G355+H355</f>
        <v>445.96429</v>
      </c>
      <c r="J355" s="133">
        <v>225.43995</v>
      </c>
      <c r="K355" s="133">
        <v>174.03032</v>
      </c>
      <c r="L355" s="133">
        <f>182.9+169.11544+45.13545</f>
        <v>397.15089</v>
      </c>
      <c r="M355" s="109">
        <f>J355+K355+L355</f>
        <v>796.62116</v>
      </c>
      <c r="N355" s="133">
        <v>36.36547</v>
      </c>
      <c r="O355" s="133">
        <v>163.62981</v>
      </c>
      <c r="P355" s="133">
        <v>313.05518</v>
      </c>
      <c r="Q355" s="109">
        <f>N355+O355+P355</f>
        <v>513.0504599999999</v>
      </c>
      <c r="R355" s="117">
        <f>213.39+101.39908-110.88499</f>
        <v>203.90409</v>
      </c>
      <c r="S355" s="117">
        <v>213.4</v>
      </c>
      <c r="T355" s="117">
        <v>213.4</v>
      </c>
      <c r="U355" s="109">
        <f t="shared" si="171"/>
        <v>630.70409</v>
      </c>
    </row>
    <row r="356" spans="1:21" ht="12.75">
      <c r="A356" s="88" t="s">
        <v>92</v>
      </c>
      <c r="B356" s="55">
        <v>611</v>
      </c>
      <c r="C356" s="56" t="s">
        <v>151</v>
      </c>
      <c r="D356" s="52"/>
      <c r="E356" s="117"/>
      <c r="F356" s="117"/>
      <c r="G356" s="117"/>
      <c r="H356" s="117"/>
      <c r="I356" s="109"/>
      <c r="J356" s="133"/>
      <c r="K356" s="133"/>
      <c r="L356" s="133"/>
      <c r="M356" s="109"/>
      <c r="N356" s="133"/>
      <c r="O356" s="133"/>
      <c r="P356" s="133"/>
      <c r="Q356" s="109"/>
      <c r="R356" s="117"/>
      <c r="S356" s="117"/>
      <c r="T356" s="117"/>
      <c r="U356" s="109"/>
    </row>
    <row r="357" spans="1:21" ht="12.75">
      <c r="A357" s="88" t="s">
        <v>94</v>
      </c>
      <c r="B357" s="55">
        <v>611</v>
      </c>
      <c r="C357" s="56" t="s">
        <v>152</v>
      </c>
      <c r="D357" s="52"/>
      <c r="E357" s="117">
        <f>I357+M357+Q357+U357</f>
        <v>653.26265</v>
      </c>
      <c r="F357" s="117">
        <v>0</v>
      </c>
      <c r="G357" s="117">
        <v>63.32615</v>
      </c>
      <c r="H357" s="117">
        <f>104.92385-42.93072</f>
        <v>61.99313</v>
      </c>
      <c r="I357" s="109">
        <f>F357+G357+H357</f>
        <v>125.31927999999999</v>
      </c>
      <c r="J357" s="133">
        <v>67.80941</v>
      </c>
      <c r="K357" s="133">
        <v>53.2432</v>
      </c>
      <c r="L357" s="133">
        <f>55.24+32.33811+41.0283</f>
        <v>128.60641</v>
      </c>
      <c r="M357" s="109">
        <f>J357+K357+L357</f>
        <v>249.65902</v>
      </c>
      <c r="N357" s="133"/>
      <c r="O357" s="133">
        <v>52.84869</v>
      </c>
      <c r="P357" s="133">
        <v>102.09269</v>
      </c>
      <c r="Q357" s="109">
        <f>N357+O357+P357</f>
        <v>154.94138</v>
      </c>
      <c r="R357" s="117">
        <f>73.67-73.67</f>
        <v>0</v>
      </c>
      <c r="S357" s="117">
        <f>73.68-24.01703</f>
        <v>49.66297000000001</v>
      </c>
      <c r="T357" s="117">
        <v>73.68</v>
      </c>
      <c r="U357" s="109">
        <f>R357+S357+T357</f>
        <v>123.34297000000001</v>
      </c>
    </row>
    <row r="358" spans="1:21" ht="12.75">
      <c r="A358" s="88" t="s">
        <v>98</v>
      </c>
      <c r="B358" s="55">
        <v>611</v>
      </c>
      <c r="C358" s="56" t="s">
        <v>154</v>
      </c>
      <c r="D358" s="52"/>
      <c r="E358" s="117">
        <f aca="true" t="shared" si="172" ref="E358:E382">I358+M358+Q358+U358</f>
        <v>35.800000000000004</v>
      </c>
      <c r="F358" s="117">
        <v>0</v>
      </c>
      <c r="G358" s="117">
        <v>0</v>
      </c>
      <c r="H358" s="117">
        <f>33.95-29.45</f>
        <v>4.5000000000000036</v>
      </c>
      <c r="I358" s="109">
        <f aca="true" t="shared" si="173" ref="I358:I371">F358+G358+H358</f>
        <v>4.5000000000000036</v>
      </c>
      <c r="J358" s="133"/>
      <c r="K358" s="133"/>
      <c r="L358" s="133">
        <f>11.32+52.08-63.4</f>
        <v>0</v>
      </c>
      <c r="M358" s="109">
        <f aca="true" t="shared" si="174" ref="M358:M371">J358+K358+L358</f>
        <v>0</v>
      </c>
      <c r="N358" s="133">
        <v>24</v>
      </c>
      <c r="O358" s="133"/>
      <c r="P358" s="133">
        <f>11.32-11.32</f>
        <v>0</v>
      </c>
      <c r="Q358" s="109">
        <f aca="true" t="shared" si="175" ref="Q358:Q371">N358+O358+P358</f>
        <v>24</v>
      </c>
      <c r="R358" s="117">
        <f>11.31-8.8883+0.0106</f>
        <v>2.4323000000000015</v>
      </c>
      <c r="S358" s="117">
        <f>11.32-8.8883</f>
        <v>2.431700000000001</v>
      </c>
      <c r="T358" s="117">
        <f>11.32-8.884</f>
        <v>2.436</v>
      </c>
      <c r="U358" s="109">
        <f aca="true" t="shared" si="176" ref="U358:U371">R358+S358+T358</f>
        <v>7.3000000000000025</v>
      </c>
    </row>
    <row r="359" spans="1:21" ht="12.75">
      <c r="A359" s="88" t="s">
        <v>100</v>
      </c>
      <c r="B359" s="55">
        <v>611</v>
      </c>
      <c r="C359" s="56" t="s">
        <v>155</v>
      </c>
      <c r="D359" s="52"/>
      <c r="E359" s="117">
        <f t="shared" si="172"/>
        <v>470</v>
      </c>
      <c r="F359" s="117">
        <f>F360+F361+F362</f>
        <v>55.87049</v>
      </c>
      <c r="G359" s="117">
        <f>G360+G361+G362</f>
        <v>78.51147</v>
      </c>
      <c r="H359" s="117">
        <f>H360+H362+H361</f>
        <v>73.20723999999998</v>
      </c>
      <c r="I359" s="109">
        <f t="shared" si="173"/>
        <v>207.58919999999998</v>
      </c>
      <c r="J359" s="133">
        <f>J360+J361+J362</f>
        <v>32.31105</v>
      </c>
      <c r="K359" s="133">
        <f>K360+K361+K362</f>
        <v>29.087919999999997</v>
      </c>
      <c r="L359" s="133">
        <f>L360+L361+L362</f>
        <v>2.7281500000000007</v>
      </c>
      <c r="M359" s="109">
        <f t="shared" si="174"/>
        <v>64.12712</v>
      </c>
      <c r="N359" s="133">
        <f>N360+N361+N362</f>
        <v>17.22675</v>
      </c>
      <c r="O359" s="133">
        <f>O360+O361+O362</f>
        <v>5.7003900000000005</v>
      </c>
      <c r="P359" s="133">
        <f>P360+P361+P362</f>
        <v>5.6374200000000005</v>
      </c>
      <c r="Q359" s="109">
        <f t="shared" si="175"/>
        <v>28.56456</v>
      </c>
      <c r="R359" s="117">
        <f>R360+R361+R362</f>
        <v>77.97666</v>
      </c>
      <c r="S359" s="117">
        <f>S360+S361+S362</f>
        <v>45.857</v>
      </c>
      <c r="T359" s="117">
        <f>T360+T361+T362</f>
        <v>45.885459999999995</v>
      </c>
      <c r="U359" s="109">
        <f t="shared" si="176"/>
        <v>169.71911999999998</v>
      </c>
    </row>
    <row r="360" spans="1:21" ht="12.75">
      <c r="A360" s="88" t="s">
        <v>117</v>
      </c>
      <c r="B360" s="55">
        <v>611</v>
      </c>
      <c r="C360" s="56" t="s">
        <v>155</v>
      </c>
      <c r="D360" s="52"/>
      <c r="E360" s="117">
        <f t="shared" si="172"/>
        <v>155.7</v>
      </c>
      <c r="F360" s="117">
        <v>0</v>
      </c>
      <c r="G360" s="117">
        <v>24.57442</v>
      </c>
      <c r="H360" s="117">
        <f>33.42558-11.4384</f>
        <v>21.987179999999995</v>
      </c>
      <c r="I360" s="109">
        <f t="shared" si="173"/>
        <v>46.5616</v>
      </c>
      <c r="J360" s="133">
        <v>19.39994</v>
      </c>
      <c r="K360" s="133">
        <v>11.6404</v>
      </c>
      <c r="L360" s="133">
        <f>10.34+1.05806-11.39806</f>
        <v>0</v>
      </c>
      <c r="M360" s="109">
        <f t="shared" si="174"/>
        <v>31.04034</v>
      </c>
      <c r="N360" s="133">
        <f>11.39806+3.10054</f>
        <v>14.4986</v>
      </c>
      <c r="O360" s="133">
        <v>0</v>
      </c>
      <c r="P360" s="133">
        <v>0</v>
      </c>
      <c r="Q360" s="109">
        <f t="shared" si="175"/>
        <v>14.4986</v>
      </c>
      <c r="R360" s="117">
        <f>22.23-1.033</f>
        <v>21.197</v>
      </c>
      <c r="S360" s="117">
        <f>22.23-1.033</f>
        <v>21.197</v>
      </c>
      <c r="T360" s="117">
        <f>22.24-1.03454</f>
        <v>21.20546</v>
      </c>
      <c r="U360" s="109">
        <f t="shared" si="176"/>
        <v>63.59945999999999</v>
      </c>
    </row>
    <row r="361" spans="1:21" ht="12.75">
      <c r="A361" s="88" t="s">
        <v>118</v>
      </c>
      <c r="B361" s="55">
        <v>611</v>
      </c>
      <c r="C361" s="56" t="s">
        <v>155</v>
      </c>
      <c r="D361" s="52"/>
      <c r="E361" s="117">
        <f t="shared" si="172"/>
        <v>281.2</v>
      </c>
      <c r="F361" s="117">
        <v>55.87049</v>
      </c>
      <c r="G361" s="117">
        <v>51.2089</v>
      </c>
      <c r="H361" s="117">
        <v>48.49191</v>
      </c>
      <c r="I361" s="109">
        <f t="shared" si="173"/>
        <v>155.57129999999998</v>
      </c>
      <c r="J361" s="133">
        <v>10.18296</v>
      </c>
      <c r="K361" s="133">
        <v>14.71937</v>
      </c>
      <c r="L361" s="133"/>
      <c r="M361" s="109">
        <f t="shared" si="174"/>
        <v>24.90233</v>
      </c>
      <c r="N361" s="133"/>
      <c r="O361" s="133">
        <v>2.89915</v>
      </c>
      <c r="P361" s="133">
        <v>2.83316</v>
      </c>
      <c r="Q361" s="109">
        <f t="shared" si="175"/>
        <v>5.73231</v>
      </c>
      <c r="R361" s="117">
        <f>18.65061+32.87345</f>
        <v>51.52406</v>
      </c>
      <c r="S361" s="117">
        <v>21.73</v>
      </c>
      <c r="T361" s="117">
        <v>21.74</v>
      </c>
      <c r="U361" s="109">
        <f t="shared" si="176"/>
        <v>94.99405999999999</v>
      </c>
    </row>
    <row r="362" spans="1:21" ht="12.75">
      <c r="A362" s="88" t="s">
        <v>119</v>
      </c>
      <c r="B362" s="55">
        <v>611</v>
      </c>
      <c r="C362" s="56" t="s">
        <v>155</v>
      </c>
      <c r="D362" s="52"/>
      <c r="E362" s="117">
        <f t="shared" si="172"/>
        <v>33.099999999999994</v>
      </c>
      <c r="F362" s="117">
        <v>0</v>
      </c>
      <c r="G362" s="117">
        <v>2.72815</v>
      </c>
      <c r="H362" s="117">
        <f>4.97185-2.2437</f>
        <v>2.72815</v>
      </c>
      <c r="I362" s="109">
        <f t="shared" si="173"/>
        <v>5.4563</v>
      </c>
      <c r="J362" s="133">
        <v>2.72815</v>
      </c>
      <c r="K362" s="133">
        <v>2.72815</v>
      </c>
      <c r="L362" s="133">
        <f>2.77+2.3174-2.35925</f>
        <v>2.7281500000000007</v>
      </c>
      <c r="M362" s="109">
        <f t="shared" si="174"/>
        <v>8.18445</v>
      </c>
      <c r="N362" s="133">
        <v>2.72815</v>
      </c>
      <c r="O362" s="133">
        <v>2.80124</v>
      </c>
      <c r="P362" s="133">
        <v>2.80426</v>
      </c>
      <c r="Q362" s="109">
        <f t="shared" si="175"/>
        <v>8.333649999999999</v>
      </c>
      <c r="R362" s="117">
        <f>2.93+2.3911-0.0655</f>
        <v>5.255599999999999</v>
      </c>
      <c r="S362" s="117">
        <v>2.93</v>
      </c>
      <c r="T362" s="117">
        <v>2.94</v>
      </c>
      <c r="U362" s="109">
        <f t="shared" si="176"/>
        <v>11.125599999999999</v>
      </c>
    </row>
    <row r="363" spans="1:21" ht="12.75">
      <c r="A363" s="88" t="s">
        <v>102</v>
      </c>
      <c r="B363" s="55">
        <v>611</v>
      </c>
      <c r="C363" s="56" t="s">
        <v>156</v>
      </c>
      <c r="D363" s="52"/>
      <c r="E363" s="117">
        <f t="shared" si="172"/>
        <v>316.6</v>
      </c>
      <c r="F363" s="117">
        <v>0</v>
      </c>
      <c r="G363" s="117">
        <v>3.45044</v>
      </c>
      <c r="H363" s="117">
        <f>6.84956-3.39912</f>
        <v>3.4504400000000004</v>
      </c>
      <c r="I363" s="109">
        <f t="shared" si="173"/>
        <v>6.900880000000001</v>
      </c>
      <c r="J363" s="133">
        <v>3.45044</v>
      </c>
      <c r="K363" s="133">
        <v>3.45044</v>
      </c>
      <c r="L363" s="133">
        <f>3.47+3.42824+75.1-78.5478</f>
        <v>3.4504400000000004</v>
      </c>
      <c r="M363" s="109">
        <f t="shared" si="174"/>
        <v>10.351320000000001</v>
      </c>
      <c r="N363" s="133">
        <v>3.45044</v>
      </c>
      <c r="O363" s="133">
        <v>3.45044</v>
      </c>
      <c r="P363" s="133">
        <v>3.45044</v>
      </c>
      <c r="Q363" s="109">
        <f t="shared" si="175"/>
        <v>10.35132</v>
      </c>
      <c r="R363" s="117">
        <f>6.93+75.09736+193.09912</f>
        <v>275.12648</v>
      </c>
      <c r="S363" s="117">
        <v>6.93</v>
      </c>
      <c r="T363" s="117">
        <v>6.94</v>
      </c>
      <c r="U363" s="109">
        <f t="shared" si="176"/>
        <v>288.99648</v>
      </c>
    </row>
    <row r="364" spans="1:21" ht="12.75">
      <c r="A364" s="88" t="s">
        <v>104</v>
      </c>
      <c r="B364" s="55">
        <v>611</v>
      </c>
      <c r="C364" s="56" t="s">
        <v>157</v>
      </c>
      <c r="D364" s="52"/>
      <c r="E364" s="117">
        <f t="shared" si="172"/>
        <v>361.7800000000001</v>
      </c>
      <c r="F364" s="117">
        <v>0</v>
      </c>
      <c r="G364" s="117">
        <v>4.98</v>
      </c>
      <c r="H364" s="117">
        <f>5.59-2.29</f>
        <v>3.3</v>
      </c>
      <c r="I364" s="109">
        <f t="shared" si="173"/>
        <v>8.280000000000001</v>
      </c>
      <c r="J364" s="133">
        <v>3.3</v>
      </c>
      <c r="K364" s="133">
        <v>272.8</v>
      </c>
      <c r="L364" s="133">
        <f>7.69+15.17-19.56</f>
        <v>3.3000000000000007</v>
      </c>
      <c r="M364" s="109">
        <f t="shared" si="174"/>
        <v>279.40000000000003</v>
      </c>
      <c r="N364" s="133">
        <v>3.3</v>
      </c>
      <c r="O364" s="133">
        <v>32.37874</v>
      </c>
      <c r="P364" s="133">
        <v>3.3</v>
      </c>
      <c r="Q364" s="109">
        <f t="shared" si="175"/>
        <v>38.978739999999995</v>
      </c>
      <c r="R364" s="117">
        <f>15.38+24.66-7.71874-24.66-3.3</f>
        <v>4.361259999999995</v>
      </c>
      <c r="S364" s="117">
        <v>15.38</v>
      </c>
      <c r="T364" s="117">
        <v>15.38</v>
      </c>
      <c r="U364" s="109">
        <f t="shared" si="176"/>
        <v>35.12126</v>
      </c>
    </row>
    <row r="365" spans="1:21" ht="12.75">
      <c r="A365" s="88" t="s">
        <v>106</v>
      </c>
      <c r="B365" s="55">
        <v>611</v>
      </c>
      <c r="C365" s="56" t="s">
        <v>158</v>
      </c>
      <c r="D365" s="52"/>
      <c r="E365" s="117">
        <f t="shared" si="172"/>
        <v>1347.21735</v>
      </c>
      <c r="F365" s="117">
        <v>578.766</v>
      </c>
      <c r="G365" s="117">
        <v>0</v>
      </c>
      <c r="H365" s="117">
        <v>0</v>
      </c>
      <c r="I365" s="109">
        <f t="shared" si="173"/>
        <v>578.766</v>
      </c>
      <c r="J365" s="133">
        <v>384.203</v>
      </c>
      <c r="K365" s="133">
        <v>0.04535</v>
      </c>
      <c r="L365" s="133">
        <f>67.41735+316.78565</f>
        <v>384.203</v>
      </c>
      <c r="M365" s="109">
        <f t="shared" si="174"/>
        <v>768.4513499999999</v>
      </c>
      <c r="N365" s="133">
        <v>0</v>
      </c>
      <c r="O365" s="133">
        <v>0</v>
      </c>
      <c r="P365" s="133">
        <v>0</v>
      </c>
      <c r="Q365" s="109">
        <f t="shared" si="175"/>
        <v>0</v>
      </c>
      <c r="R365" s="117">
        <v>0</v>
      </c>
      <c r="S365" s="117">
        <f>61.371-0.04535-61.32565</f>
        <v>0</v>
      </c>
      <c r="T365" s="117">
        <f>255.46-255.46</f>
        <v>0</v>
      </c>
      <c r="U365" s="109">
        <f t="shared" si="176"/>
        <v>0</v>
      </c>
    </row>
    <row r="366" spans="1:21" ht="12.75">
      <c r="A366" s="88" t="s">
        <v>114</v>
      </c>
      <c r="B366" s="55">
        <v>611</v>
      </c>
      <c r="C366" s="56" t="s">
        <v>159</v>
      </c>
      <c r="D366" s="52"/>
      <c r="E366" s="117">
        <f t="shared" si="172"/>
        <v>10</v>
      </c>
      <c r="F366" s="117">
        <f>F367+F368+F371</f>
        <v>0</v>
      </c>
      <c r="G366" s="117">
        <f>G367+G368+G371</f>
        <v>0</v>
      </c>
      <c r="H366" s="117">
        <f>H367+H368+H371</f>
        <v>0</v>
      </c>
      <c r="I366" s="109">
        <f t="shared" si="173"/>
        <v>0</v>
      </c>
      <c r="J366" s="117">
        <f>J367+J368+J371</f>
        <v>0</v>
      </c>
      <c r="K366" s="117">
        <f>K367+K368+K371</f>
        <v>0</v>
      </c>
      <c r="L366" s="117">
        <f>L367+L368+L371</f>
        <v>0</v>
      </c>
      <c r="M366" s="109">
        <f t="shared" si="174"/>
        <v>0</v>
      </c>
      <c r="N366" s="133"/>
      <c r="O366" s="133"/>
      <c r="P366" s="133">
        <f>P367+P368+P371</f>
        <v>0</v>
      </c>
      <c r="Q366" s="109">
        <f>N366+O366+P366</f>
        <v>0</v>
      </c>
      <c r="R366" s="117">
        <f>R367+R368+R371</f>
        <v>10</v>
      </c>
      <c r="S366" s="117">
        <f>S367+S368+S371</f>
        <v>0</v>
      </c>
      <c r="T366" s="117">
        <f>T367+T368+T371</f>
        <v>0</v>
      </c>
      <c r="U366" s="109">
        <f t="shared" si="176"/>
        <v>10</v>
      </c>
    </row>
    <row r="367" spans="1:21" ht="12.75">
      <c r="A367" s="88" t="s">
        <v>108</v>
      </c>
      <c r="B367" s="55">
        <v>611</v>
      </c>
      <c r="C367" s="56" t="s">
        <v>160</v>
      </c>
      <c r="D367" s="52"/>
      <c r="E367" s="117">
        <f t="shared" si="172"/>
        <v>0</v>
      </c>
      <c r="F367" s="117"/>
      <c r="G367" s="117"/>
      <c r="H367" s="117"/>
      <c r="I367" s="109">
        <f t="shared" si="173"/>
        <v>0</v>
      </c>
      <c r="J367" s="133"/>
      <c r="K367" s="133"/>
      <c r="L367" s="133">
        <f>100-67.41735-32.58265</f>
        <v>0</v>
      </c>
      <c r="M367" s="109">
        <f t="shared" si="174"/>
        <v>0</v>
      </c>
      <c r="N367" s="133">
        <f>32.58265+67.41735-100</f>
        <v>0</v>
      </c>
      <c r="O367" s="133"/>
      <c r="P367" s="133"/>
      <c r="Q367" s="109">
        <f t="shared" si="175"/>
        <v>0</v>
      </c>
      <c r="R367" s="117"/>
      <c r="S367" s="117"/>
      <c r="T367" s="117"/>
      <c r="U367" s="109">
        <f t="shared" si="176"/>
        <v>0</v>
      </c>
    </row>
    <row r="368" spans="1:21" ht="12.75">
      <c r="A368" s="88" t="s">
        <v>110</v>
      </c>
      <c r="B368" s="55">
        <v>611</v>
      </c>
      <c r="C368" s="56" t="s">
        <v>161</v>
      </c>
      <c r="D368" s="52"/>
      <c r="E368" s="117">
        <f t="shared" si="172"/>
        <v>10</v>
      </c>
      <c r="F368" s="117">
        <f>F369+F370</f>
        <v>0</v>
      </c>
      <c r="G368" s="117">
        <f>G369+G370</f>
        <v>0</v>
      </c>
      <c r="H368" s="117">
        <f>H369+H370</f>
        <v>0</v>
      </c>
      <c r="I368" s="109">
        <f t="shared" si="173"/>
        <v>0</v>
      </c>
      <c r="J368" s="133">
        <f>J369+J370</f>
        <v>0</v>
      </c>
      <c r="K368" s="133">
        <f>K369+K370</f>
        <v>0</v>
      </c>
      <c r="L368" s="133">
        <f>L369+L370</f>
        <v>0</v>
      </c>
      <c r="M368" s="109">
        <f t="shared" si="174"/>
        <v>0</v>
      </c>
      <c r="N368" s="133">
        <f>N369+N370</f>
        <v>0</v>
      </c>
      <c r="O368" s="133">
        <f>O369+O370</f>
        <v>0</v>
      </c>
      <c r="P368" s="133">
        <f>P369+P370</f>
        <v>0</v>
      </c>
      <c r="Q368" s="109">
        <f t="shared" si="175"/>
        <v>0</v>
      </c>
      <c r="R368" s="117">
        <f>R369+R370</f>
        <v>10</v>
      </c>
      <c r="S368" s="117">
        <f>S369+S370</f>
        <v>0</v>
      </c>
      <c r="T368" s="117">
        <f>T369+T370</f>
        <v>0</v>
      </c>
      <c r="U368" s="109">
        <f>R368+S368+T368</f>
        <v>10</v>
      </c>
    </row>
    <row r="369" spans="1:21" ht="12.75" hidden="1">
      <c r="A369" s="88" t="s">
        <v>139</v>
      </c>
      <c r="B369" s="55">
        <v>611</v>
      </c>
      <c r="C369" s="56" t="s">
        <v>161</v>
      </c>
      <c r="D369" s="52"/>
      <c r="E369" s="117">
        <f t="shared" si="172"/>
        <v>0</v>
      </c>
      <c r="F369" s="117"/>
      <c r="G369" s="117"/>
      <c r="H369" s="117"/>
      <c r="I369" s="109">
        <f t="shared" si="173"/>
        <v>0</v>
      </c>
      <c r="J369" s="133"/>
      <c r="K369" s="133"/>
      <c r="L369" s="133"/>
      <c r="M369" s="109">
        <f t="shared" si="174"/>
        <v>0</v>
      </c>
      <c r="N369" s="133"/>
      <c r="O369" s="133"/>
      <c r="P369" s="133"/>
      <c r="Q369" s="109">
        <f t="shared" si="175"/>
        <v>0</v>
      </c>
      <c r="R369" s="117"/>
      <c r="S369" s="117"/>
      <c r="T369" s="117"/>
      <c r="U369" s="109">
        <f t="shared" si="176"/>
        <v>0</v>
      </c>
    </row>
    <row r="370" spans="1:21" ht="12.75">
      <c r="A370" s="88" t="s">
        <v>116</v>
      </c>
      <c r="B370" s="55">
        <v>611</v>
      </c>
      <c r="C370" s="56" t="s">
        <v>161</v>
      </c>
      <c r="D370" s="52"/>
      <c r="E370" s="117">
        <f t="shared" si="172"/>
        <v>10</v>
      </c>
      <c r="F370" s="117">
        <v>0</v>
      </c>
      <c r="G370" s="117">
        <v>0</v>
      </c>
      <c r="H370" s="117">
        <v>0</v>
      </c>
      <c r="I370" s="109">
        <f t="shared" si="173"/>
        <v>0</v>
      </c>
      <c r="J370" s="133"/>
      <c r="K370" s="133"/>
      <c r="L370" s="133">
        <f>10-10</f>
        <v>0</v>
      </c>
      <c r="M370" s="109">
        <f t="shared" si="174"/>
        <v>0</v>
      </c>
      <c r="N370" s="133"/>
      <c r="O370" s="133"/>
      <c r="P370" s="133"/>
      <c r="Q370" s="109">
        <f t="shared" si="175"/>
        <v>0</v>
      </c>
      <c r="R370" s="117">
        <v>10</v>
      </c>
      <c r="S370" s="117">
        <v>0</v>
      </c>
      <c r="T370" s="117">
        <v>0</v>
      </c>
      <c r="U370" s="109">
        <f t="shared" si="176"/>
        <v>10</v>
      </c>
    </row>
    <row r="371" spans="1:21" ht="12.75" hidden="1">
      <c r="A371" s="88"/>
      <c r="B371" s="55">
        <v>612</v>
      </c>
      <c r="C371" s="56" t="s">
        <v>160</v>
      </c>
      <c r="D371" s="52"/>
      <c r="E371" s="117">
        <f t="shared" si="172"/>
        <v>0</v>
      </c>
      <c r="F371" s="117"/>
      <c r="G371" s="117"/>
      <c r="H371" s="117"/>
      <c r="I371" s="109">
        <f t="shared" si="173"/>
        <v>0</v>
      </c>
      <c r="J371" s="133"/>
      <c r="K371" s="133"/>
      <c r="L371" s="133"/>
      <c r="M371" s="109">
        <f t="shared" si="174"/>
        <v>0</v>
      </c>
      <c r="N371" s="133">
        <f>100-100</f>
        <v>0</v>
      </c>
      <c r="O371" s="133"/>
      <c r="P371" s="133"/>
      <c r="Q371" s="109">
        <f t="shared" si="175"/>
        <v>0</v>
      </c>
      <c r="R371" s="117"/>
      <c r="S371" s="117"/>
      <c r="T371" s="117"/>
      <c r="U371" s="109">
        <f t="shared" si="176"/>
        <v>0</v>
      </c>
    </row>
    <row r="372" spans="1:21" ht="21" customHeight="1" hidden="1">
      <c r="A372" s="88" t="s">
        <v>250</v>
      </c>
      <c r="B372" s="55">
        <v>610</v>
      </c>
      <c r="C372" s="56"/>
      <c r="D372" s="53"/>
      <c r="E372" s="122">
        <f>I372+M372+Q372+U372</f>
        <v>0</v>
      </c>
      <c r="F372" s="118">
        <f>F373</f>
        <v>0</v>
      </c>
      <c r="G372" s="118">
        <f>G373</f>
        <v>0</v>
      </c>
      <c r="H372" s="118">
        <f>H373</f>
        <v>0</v>
      </c>
      <c r="I372" s="122">
        <f>SUM(F372:H372)</f>
        <v>0</v>
      </c>
      <c r="J372" s="134">
        <f>J373</f>
        <v>0</v>
      </c>
      <c r="K372" s="134">
        <f>K373</f>
        <v>0</v>
      </c>
      <c r="L372" s="134">
        <f>L373</f>
        <v>0</v>
      </c>
      <c r="M372" s="122">
        <f>SUM(J372:L372)</f>
        <v>0</v>
      </c>
      <c r="N372" s="134">
        <f>N373</f>
        <v>0</v>
      </c>
      <c r="O372" s="134">
        <f>O373</f>
        <v>0</v>
      </c>
      <c r="P372" s="134">
        <f>P373</f>
        <v>0</v>
      </c>
      <c r="Q372" s="122">
        <f>SUM(N372:P372)</f>
        <v>0</v>
      </c>
      <c r="R372" s="118">
        <f>R373</f>
        <v>0</v>
      </c>
      <c r="S372" s="118">
        <f>S373</f>
        <v>0</v>
      </c>
      <c r="T372" s="118">
        <f>T373</f>
        <v>0</v>
      </c>
      <c r="U372" s="122">
        <f aca="true" t="shared" si="177" ref="U372:U382">SUM(R372:T372)</f>
        <v>0</v>
      </c>
    </row>
    <row r="373" spans="1:21" ht="15" customHeight="1" hidden="1">
      <c r="A373" s="88" t="s">
        <v>251</v>
      </c>
      <c r="B373" s="55">
        <v>611</v>
      </c>
      <c r="C373" s="56" t="s">
        <v>154</v>
      </c>
      <c r="D373" s="52"/>
      <c r="E373" s="118">
        <f>I373+M373+Q373+U373</f>
        <v>0</v>
      </c>
      <c r="F373" s="118">
        <f>F374</f>
        <v>0</v>
      </c>
      <c r="G373" s="118"/>
      <c r="H373" s="118"/>
      <c r="I373" s="122">
        <f>SUM(F373:H373)</f>
        <v>0</v>
      </c>
      <c r="J373" s="134">
        <v>0</v>
      </c>
      <c r="K373" s="134">
        <v>0</v>
      </c>
      <c r="L373" s="134">
        <v>0</v>
      </c>
      <c r="M373" s="122">
        <f>SUM(J373:L373)</f>
        <v>0</v>
      </c>
      <c r="N373" s="134">
        <v>0</v>
      </c>
      <c r="O373" s="134">
        <v>0</v>
      </c>
      <c r="P373" s="134">
        <v>0</v>
      </c>
      <c r="Q373" s="122">
        <f>SUM(N373:P373)</f>
        <v>0</v>
      </c>
      <c r="R373" s="118">
        <v>0</v>
      </c>
      <c r="S373" s="118">
        <v>0</v>
      </c>
      <c r="T373" s="118">
        <v>0</v>
      </c>
      <c r="U373" s="122">
        <f t="shared" si="177"/>
        <v>0</v>
      </c>
    </row>
    <row r="374" spans="1:21" ht="41.25" customHeight="1" hidden="1">
      <c r="A374" s="88" t="s">
        <v>252</v>
      </c>
      <c r="B374" s="55">
        <v>610</v>
      </c>
      <c r="C374" s="56"/>
      <c r="D374" s="52"/>
      <c r="E374" s="122">
        <f>M374+Q374+U374</f>
        <v>0</v>
      </c>
      <c r="F374" s="118">
        <f>F375+F376</f>
        <v>0</v>
      </c>
      <c r="G374" s="118">
        <f>G375+G376</f>
        <v>0</v>
      </c>
      <c r="H374" s="118">
        <f>H375+H376</f>
        <v>0</v>
      </c>
      <c r="I374" s="122">
        <f>F374+G374+H374</f>
        <v>0</v>
      </c>
      <c r="J374" s="134">
        <f>J375+J376</f>
        <v>0</v>
      </c>
      <c r="K374" s="134">
        <f>K375+K376</f>
        <v>0</v>
      </c>
      <c r="L374" s="134">
        <f>L375+L376</f>
        <v>0</v>
      </c>
      <c r="M374" s="122">
        <f>J374+K374+L374</f>
        <v>0</v>
      </c>
      <c r="N374" s="134">
        <f>N375+N376</f>
        <v>0</v>
      </c>
      <c r="O374" s="134">
        <f>O375+O376</f>
        <v>0</v>
      </c>
      <c r="P374" s="134">
        <f>P375+P376</f>
        <v>0</v>
      </c>
      <c r="Q374" s="122">
        <f>N374+O374+P374</f>
        <v>0</v>
      </c>
      <c r="R374" s="118">
        <f>R375+R376</f>
        <v>0</v>
      </c>
      <c r="S374" s="118">
        <f>S375+S376</f>
        <v>0</v>
      </c>
      <c r="T374" s="118">
        <f>T375+T376</f>
        <v>0</v>
      </c>
      <c r="U374" s="122">
        <f t="shared" si="177"/>
        <v>0</v>
      </c>
    </row>
    <row r="375" spans="1:21" ht="12.75" hidden="1">
      <c r="A375" s="88" t="s">
        <v>147</v>
      </c>
      <c r="B375" s="55">
        <v>611</v>
      </c>
      <c r="C375" s="56" t="s">
        <v>157</v>
      </c>
      <c r="D375" s="52"/>
      <c r="E375" s="117">
        <f aca="true" t="shared" si="178" ref="E375:E381">I375+M375+Q375+U375</f>
        <v>0</v>
      </c>
      <c r="F375" s="117">
        <f>F385</f>
        <v>0</v>
      </c>
      <c r="G375" s="117"/>
      <c r="H375" s="117"/>
      <c r="I375" s="109">
        <f>SUM(F375:H375)</f>
        <v>0</v>
      </c>
      <c r="J375" s="133"/>
      <c r="K375" s="133"/>
      <c r="L375" s="133"/>
      <c r="M375" s="109">
        <f>SUM(J375:L375)</f>
        <v>0</v>
      </c>
      <c r="N375" s="133"/>
      <c r="O375" s="133">
        <f>O385</f>
        <v>0</v>
      </c>
      <c r="P375" s="133">
        <f>P385</f>
        <v>0</v>
      </c>
      <c r="Q375" s="109">
        <f>SUM(N375:P375)</f>
        <v>0</v>
      </c>
      <c r="R375" s="117">
        <f aca="true" t="shared" si="179" ref="R375:T376">R385</f>
        <v>0</v>
      </c>
      <c r="S375" s="117">
        <f t="shared" si="179"/>
        <v>0</v>
      </c>
      <c r="T375" s="117">
        <f t="shared" si="179"/>
        <v>0</v>
      </c>
      <c r="U375" s="109">
        <f t="shared" si="177"/>
        <v>0</v>
      </c>
    </row>
    <row r="376" spans="1:21" ht="12.75" hidden="1">
      <c r="A376" s="88" t="s">
        <v>106</v>
      </c>
      <c r="B376" s="55">
        <v>611</v>
      </c>
      <c r="C376" s="56" t="s">
        <v>158</v>
      </c>
      <c r="D376" s="52"/>
      <c r="E376" s="117">
        <f t="shared" si="178"/>
        <v>0</v>
      </c>
      <c r="F376" s="117">
        <f>F386</f>
        <v>0</v>
      </c>
      <c r="G376" s="117"/>
      <c r="H376" s="117"/>
      <c r="I376" s="109">
        <f>SUM(F376:H376)</f>
        <v>0</v>
      </c>
      <c r="J376" s="133"/>
      <c r="K376" s="133"/>
      <c r="L376" s="133"/>
      <c r="M376" s="109">
        <f>SUM(J376:L376)</f>
        <v>0</v>
      </c>
      <c r="N376" s="133"/>
      <c r="O376" s="133">
        <f>O386</f>
        <v>0</v>
      </c>
      <c r="P376" s="133">
        <f>P386</f>
        <v>0</v>
      </c>
      <c r="Q376" s="109">
        <f>SUM(N376:P376)</f>
        <v>0</v>
      </c>
      <c r="R376" s="117">
        <f t="shared" si="179"/>
        <v>0</v>
      </c>
      <c r="S376" s="117">
        <f t="shared" si="179"/>
        <v>0</v>
      </c>
      <c r="T376" s="117">
        <f t="shared" si="179"/>
        <v>0</v>
      </c>
      <c r="U376" s="109">
        <f t="shared" si="177"/>
        <v>0</v>
      </c>
    </row>
    <row r="377" spans="1:21" ht="92.25">
      <c r="A377" s="90" t="s">
        <v>293</v>
      </c>
      <c r="B377" s="55">
        <v>611</v>
      </c>
      <c r="C377" s="195" t="s">
        <v>212</v>
      </c>
      <c r="D377" s="196"/>
      <c r="E377" s="133">
        <f t="shared" si="178"/>
        <v>174.39999999999998</v>
      </c>
      <c r="F377" s="133">
        <f>F378+F379</f>
        <v>0</v>
      </c>
      <c r="G377" s="133">
        <f>G378+G379</f>
        <v>0</v>
      </c>
      <c r="H377" s="133">
        <f>H378+H379</f>
        <v>0</v>
      </c>
      <c r="I377" s="130">
        <f>F377+G377+H377</f>
        <v>0</v>
      </c>
      <c r="J377" s="133">
        <f>J378+J379</f>
        <v>0</v>
      </c>
      <c r="K377" s="133">
        <f>K378+K379</f>
        <v>0</v>
      </c>
      <c r="L377" s="133">
        <f>L378+L379</f>
        <v>0</v>
      </c>
      <c r="M377" s="130">
        <f>J377+K377+L377</f>
        <v>0</v>
      </c>
      <c r="N377" s="133">
        <f>N378+N379</f>
        <v>0</v>
      </c>
      <c r="O377" s="133">
        <f>O378+O379</f>
        <v>0</v>
      </c>
      <c r="P377" s="133">
        <f>P378+P379</f>
        <v>85.33377</v>
      </c>
      <c r="Q377" s="130">
        <f>N377+O377+P377</f>
        <v>85.33377</v>
      </c>
      <c r="R377" s="133">
        <f>R378+R379</f>
        <v>89.06622999999999</v>
      </c>
      <c r="S377" s="133">
        <f>S378+S379</f>
        <v>0</v>
      </c>
      <c r="T377" s="133">
        <f>T378+T379</f>
        <v>0</v>
      </c>
      <c r="U377" s="130">
        <f>R377+S377+T377</f>
        <v>89.06622999999999</v>
      </c>
    </row>
    <row r="378" spans="1:21" ht="12.75">
      <c r="A378" s="88" t="s">
        <v>90</v>
      </c>
      <c r="B378" s="55">
        <v>611</v>
      </c>
      <c r="C378" s="195" t="s">
        <v>91</v>
      </c>
      <c r="D378" s="196"/>
      <c r="E378" s="133">
        <f t="shared" si="178"/>
        <v>133.95</v>
      </c>
      <c r="F378" s="133"/>
      <c r="G378" s="133"/>
      <c r="H378" s="133"/>
      <c r="I378" s="130">
        <f>F378+G378+H378</f>
        <v>0</v>
      </c>
      <c r="J378" s="133"/>
      <c r="K378" s="133"/>
      <c r="L378" s="133">
        <f>133.95-133.95</f>
        <v>0</v>
      </c>
      <c r="M378" s="130">
        <f>J378+K378+L378</f>
        <v>0</v>
      </c>
      <c r="N378" s="133"/>
      <c r="O378" s="133"/>
      <c r="P378" s="133">
        <v>65.54053</v>
      </c>
      <c r="Q378" s="130">
        <f>N378+O378+P378</f>
        <v>65.54053</v>
      </c>
      <c r="R378" s="133">
        <v>68.40947</v>
      </c>
      <c r="S378" s="133"/>
      <c r="T378" s="133"/>
      <c r="U378" s="130">
        <f>R378+S378+T378</f>
        <v>68.40947</v>
      </c>
    </row>
    <row r="379" spans="1:21" ht="12.75">
      <c r="A379" s="88" t="s">
        <v>94</v>
      </c>
      <c r="B379" s="55">
        <v>611</v>
      </c>
      <c r="C379" s="195" t="s">
        <v>95</v>
      </c>
      <c r="D379" s="196"/>
      <c r="E379" s="133">
        <f t="shared" si="178"/>
        <v>40.45</v>
      </c>
      <c r="F379" s="133"/>
      <c r="G379" s="133"/>
      <c r="H379" s="133"/>
      <c r="I379" s="130">
        <f>F379+G379+H379</f>
        <v>0</v>
      </c>
      <c r="J379" s="133"/>
      <c r="K379" s="133"/>
      <c r="L379" s="133">
        <f>40.45-40.45</f>
        <v>0</v>
      </c>
      <c r="M379" s="130">
        <f>J379+K379+L379</f>
        <v>0</v>
      </c>
      <c r="N379" s="133"/>
      <c r="O379" s="133"/>
      <c r="P379" s="133">
        <v>19.79324</v>
      </c>
      <c r="Q379" s="130">
        <f>N379+O379+P379</f>
        <v>19.79324</v>
      </c>
      <c r="R379" s="133">
        <v>20.65676</v>
      </c>
      <c r="S379" s="133"/>
      <c r="T379" s="133"/>
      <c r="U379" s="130">
        <f>R379+S379+T379</f>
        <v>20.65676</v>
      </c>
    </row>
    <row r="380" spans="1:21" ht="92.25">
      <c r="A380" s="150" t="s">
        <v>309</v>
      </c>
      <c r="B380" s="55">
        <v>612</v>
      </c>
      <c r="C380" s="195"/>
      <c r="D380" s="196"/>
      <c r="E380" s="117">
        <f t="shared" si="178"/>
        <v>100</v>
      </c>
      <c r="F380" s="117">
        <f>F381</f>
        <v>0</v>
      </c>
      <c r="G380" s="117">
        <f>G381</f>
        <v>0</v>
      </c>
      <c r="H380" s="117">
        <f>H381</f>
        <v>0</v>
      </c>
      <c r="I380" s="109">
        <f>SUM(F380:H380)</f>
        <v>0</v>
      </c>
      <c r="J380" s="117">
        <f>J381</f>
        <v>0</v>
      </c>
      <c r="K380" s="117">
        <f>K381</f>
        <v>0</v>
      </c>
      <c r="L380" s="117">
        <f>L381</f>
        <v>0</v>
      </c>
      <c r="M380" s="109">
        <f>SUM(J380:L380)</f>
        <v>0</v>
      </c>
      <c r="N380" s="133">
        <f>N381</f>
        <v>0</v>
      </c>
      <c r="O380" s="133">
        <f>O381</f>
        <v>100</v>
      </c>
      <c r="P380" s="133">
        <f>P381</f>
        <v>0</v>
      </c>
      <c r="Q380" s="109">
        <f>SUM(N380:P380)</f>
        <v>100</v>
      </c>
      <c r="R380" s="117">
        <f>R381</f>
        <v>0</v>
      </c>
      <c r="S380" s="117">
        <f>S381</f>
        <v>0</v>
      </c>
      <c r="T380" s="117">
        <f>T381</f>
        <v>0</v>
      </c>
      <c r="U380" s="109">
        <f>SUM(R380:T380)</f>
        <v>0</v>
      </c>
    </row>
    <row r="381" spans="1:21" ht="26.25">
      <c r="A381" s="92" t="s">
        <v>265</v>
      </c>
      <c r="B381" s="55">
        <v>612</v>
      </c>
      <c r="C381" s="195" t="s">
        <v>160</v>
      </c>
      <c r="D381" s="196"/>
      <c r="E381" s="117">
        <f t="shared" si="178"/>
        <v>100</v>
      </c>
      <c r="F381" s="117"/>
      <c r="G381" s="117"/>
      <c r="H381" s="117"/>
      <c r="I381" s="109">
        <f>SUM(F381:H381)</f>
        <v>0</v>
      </c>
      <c r="J381" s="133"/>
      <c r="K381" s="133"/>
      <c r="L381" s="133"/>
      <c r="M381" s="109">
        <f>SUM(J381:L381)</f>
        <v>0</v>
      </c>
      <c r="N381" s="133"/>
      <c r="O381" s="133">
        <v>100</v>
      </c>
      <c r="P381" s="133"/>
      <c r="Q381" s="109">
        <f>SUM(N381:P381)</f>
        <v>100</v>
      </c>
      <c r="R381" s="117"/>
      <c r="S381" s="117"/>
      <c r="T381" s="117"/>
      <c r="U381" s="109">
        <f>SUM(R381:T381)</f>
        <v>0</v>
      </c>
    </row>
    <row r="382" spans="1:21" ht="45" customHeight="1">
      <c r="A382" s="90" t="s">
        <v>219</v>
      </c>
      <c r="B382" s="57">
        <v>240</v>
      </c>
      <c r="C382" s="59"/>
      <c r="D382" s="54"/>
      <c r="E382" s="122">
        <f t="shared" si="172"/>
        <v>137</v>
      </c>
      <c r="F382" s="118">
        <f>F384+F383</f>
        <v>0</v>
      </c>
      <c r="G382" s="118">
        <f>G384+G383</f>
        <v>11.07</v>
      </c>
      <c r="H382" s="118">
        <f>H384+H383</f>
        <v>0</v>
      </c>
      <c r="I382" s="122">
        <f>SUM(F382:H382)</f>
        <v>11.07</v>
      </c>
      <c r="J382" s="134">
        <f>J384+J383</f>
        <v>11.9691</v>
      </c>
      <c r="K382" s="134">
        <f>K384+K383</f>
        <v>19</v>
      </c>
      <c r="L382" s="134">
        <f>L384+L383</f>
        <v>24.998999999999995</v>
      </c>
      <c r="M382" s="122">
        <f>SUM(J382:L382)</f>
        <v>55.96809999999999</v>
      </c>
      <c r="N382" s="134">
        <f>N384+N383</f>
        <v>0</v>
      </c>
      <c r="O382" s="134">
        <f>O384+O383</f>
        <v>20</v>
      </c>
      <c r="P382" s="134">
        <f>P384+P383</f>
        <v>22</v>
      </c>
      <c r="Q382" s="122">
        <f>SUM(N382:P382)</f>
        <v>42</v>
      </c>
      <c r="R382" s="118">
        <f>R384+R383</f>
        <v>7.9619</v>
      </c>
      <c r="S382" s="118">
        <f>S384+S383</f>
        <v>6.620000000000001</v>
      </c>
      <c r="T382" s="118">
        <f>T384+T383</f>
        <v>13.38</v>
      </c>
      <c r="U382" s="122">
        <f t="shared" si="177"/>
        <v>27.9619</v>
      </c>
    </row>
    <row r="383" spans="1:21" ht="15" customHeight="1">
      <c r="A383" s="88" t="s">
        <v>104</v>
      </c>
      <c r="B383" s="57">
        <v>244</v>
      </c>
      <c r="C383" s="59" t="s">
        <v>105</v>
      </c>
      <c r="D383" s="54"/>
      <c r="E383" s="117">
        <f>M383+Q383+U383+I383</f>
        <v>0</v>
      </c>
      <c r="F383" s="109"/>
      <c r="G383" s="117"/>
      <c r="H383" s="117"/>
      <c r="I383" s="109">
        <f>F383+G383+H383</f>
        <v>0</v>
      </c>
      <c r="J383" s="133"/>
      <c r="K383" s="133"/>
      <c r="L383" s="133"/>
      <c r="M383" s="109">
        <f>J383+K383+L383</f>
        <v>0</v>
      </c>
      <c r="N383" s="133"/>
      <c r="O383" s="133"/>
      <c r="P383" s="133"/>
      <c r="Q383" s="109">
        <f>N383+O383+P383</f>
        <v>0</v>
      </c>
      <c r="R383" s="117"/>
      <c r="S383" s="117"/>
      <c r="T383" s="117"/>
      <c r="U383" s="109">
        <f>R383+S383+T383</f>
        <v>0</v>
      </c>
    </row>
    <row r="384" spans="1:21" ht="12.75">
      <c r="A384" s="88" t="s">
        <v>106</v>
      </c>
      <c r="B384" s="55">
        <v>244</v>
      </c>
      <c r="C384" s="56" t="s">
        <v>107</v>
      </c>
      <c r="D384" s="53"/>
      <c r="E384" s="122">
        <f>M384+Q384+U384+I384</f>
        <v>137</v>
      </c>
      <c r="F384" s="109">
        <v>0</v>
      </c>
      <c r="G384" s="117">
        <v>11.07</v>
      </c>
      <c r="H384" s="117">
        <v>0</v>
      </c>
      <c r="I384" s="109">
        <f>F384+G384+H384</f>
        <v>11.07</v>
      </c>
      <c r="J384" s="133">
        <v>11.9691</v>
      </c>
      <c r="K384" s="133">
        <v>19</v>
      </c>
      <c r="L384" s="133">
        <f>17.55+33.4109-19-6.9619</f>
        <v>24.998999999999995</v>
      </c>
      <c r="M384" s="109">
        <f>J384+K384+L384</f>
        <v>55.96809999999999</v>
      </c>
      <c r="N384" s="133"/>
      <c r="O384" s="133">
        <f>6.9619+13.0381</f>
        <v>20</v>
      </c>
      <c r="P384" s="133">
        <v>22</v>
      </c>
      <c r="Q384" s="109">
        <f>N384+O384+P384</f>
        <v>42</v>
      </c>
      <c r="R384" s="117">
        <f>21-13.0381</f>
        <v>7.9619</v>
      </c>
      <c r="S384" s="117">
        <f>28.62-22</f>
        <v>6.620000000000001</v>
      </c>
      <c r="T384" s="117">
        <v>13.38</v>
      </c>
      <c r="U384" s="109">
        <f>R384+S384+T384</f>
        <v>27.9619</v>
      </c>
    </row>
    <row r="385" spans="1:21" ht="33.75" customHeight="1" hidden="1">
      <c r="A385" s="90" t="s">
        <v>220</v>
      </c>
      <c r="B385" s="55">
        <v>240</v>
      </c>
      <c r="C385" s="56"/>
      <c r="D385" s="53"/>
      <c r="E385" s="176">
        <f>I385+M385+Q385+U385</f>
        <v>0</v>
      </c>
      <c r="F385" s="128">
        <f aca="true" t="shared" si="180" ref="F385:H389">F386</f>
        <v>0</v>
      </c>
      <c r="G385" s="128">
        <f t="shared" si="180"/>
        <v>0</v>
      </c>
      <c r="H385" s="128">
        <f t="shared" si="180"/>
        <v>0</v>
      </c>
      <c r="I385" s="129">
        <f>SUM(F385:H385)</f>
        <v>0</v>
      </c>
      <c r="J385" s="144">
        <f>J386</f>
        <v>0</v>
      </c>
      <c r="K385" s="143">
        <f>K386</f>
        <v>0</v>
      </c>
      <c r="L385" s="134">
        <f>L386</f>
        <v>0</v>
      </c>
      <c r="M385" s="129">
        <f>SUM(J385:L385)</f>
        <v>0</v>
      </c>
      <c r="N385" s="143">
        <f>N386</f>
        <v>0</v>
      </c>
      <c r="O385" s="135">
        <f>O386</f>
        <v>0</v>
      </c>
      <c r="P385" s="135">
        <f>P386</f>
        <v>0</v>
      </c>
      <c r="Q385" s="129">
        <f>SUM(N385:P385)</f>
        <v>0</v>
      </c>
      <c r="R385" s="128">
        <f aca="true" t="shared" si="181" ref="R385:T389">R386</f>
        <v>0</v>
      </c>
      <c r="S385" s="128">
        <f t="shared" si="181"/>
        <v>0</v>
      </c>
      <c r="T385" s="128">
        <f t="shared" si="181"/>
        <v>0</v>
      </c>
      <c r="U385" s="129">
        <f aca="true" t="shared" si="182" ref="U385:U390">SUM(R385:T385)</f>
        <v>0</v>
      </c>
    </row>
    <row r="386" spans="1:21" ht="12.75" hidden="1">
      <c r="A386" s="88" t="s">
        <v>108</v>
      </c>
      <c r="B386" s="55">
        <v>244</v>
      </c>
      <c r="C386" s="56" t="s">
        <v>109</v>
      </c>
      <c r="D386" s="52"/>
      <c r="E386" s="176">
        <f>I386+M386+Q386+U386</f>
        <v>0</v>
      </c>
      <c r="F386" s="128">
        <v>0</v>
      </c>
      <c r="G386" s="128">
        <v>0</v>
      </c>
      <c r="H386" s="128">
        <v>0</v>
      </c>
      <c r="I386" s="129">
        <f>SUM(F386:H386)</f>
        <v>0</v>
      </c>
      <c r="J386" s="144"/>
      <c r="K386" s="143"/>
      <c r="L386" s="134">
        <f>16.67+83.33-100</f>
        <v>0</v>
      </c>
      <c r="M386" s="129">
        <f>SUM(J386:L386)</f>
        <v>0</v>
      </c>
      <c r="N386" s="143"/>
      <c r="O386" s="135">
        <f>100-100</f>
        <v>0</v>
      </c>
      <c r="P386" s="135">
        <v>0</v>
      </c>
      <c r="Q386" s="129">
        <f>SUM(N386:P386)</f>
        <v>0</v>
      </c>
      <c r="R386" s="128">
        <v>0</v>
      </c>
      <c r="S386" s="128">
        <v>0</v>
      </c>
      <c r="T386" s="128">
        <v>0</v>
      </c>
      <c r="U386" s="129">
        <f t="shared" si="182"/>
        <v>0</v>
      </c>
    </row>
    <row r="387" spans="1:21" ht="43.5" customHeight="1" hidden="1">
      <c r="A387" s="90" t="s">
        <v>221</v>
      </c>
      <c r="B387" s="55"/>
      <c r="C387" s="56"/>
      <c r="D387" s="52"/>
      <c r="E387" s="176">
        <f>M387+Q387+U387</f>
        <v>0</v>
      </c>
      <c r="F387" s="128">
        <f t="shared" si="180"/>
        <v>0</v>
      </c>
      <c r="G387" s="128">
        <f t="shared" si="180"/>
        <v>0</v>
      </c>
      <c r="H387" s="128">
        <f t="shared" si="180"/>
        <v>0</v>
      </c>
      <c r="I387" s="129">
        <f>F387+G387+H387</f>
        <v>0</v>
      </c>
      <c r="J387" s="144">
        <f>J388</f>
        <v>0</v>
      </c>
      <c r="K387" s="143">
        <f>K388</f>
        <v>0</v>
      </c>
      <c r="L387" s="134">
        <f>L388</f>
        <v>0</v>
      </c>
      <c r="M387" s="129">
        <f>J387+K387+L387</f>
        <v>0</v>
      </c>
      <c r="N387" s="143">
        <f>N388</f>
        <v>0</v>
      </c>
      <c r="O387" s="135">
        <f>O388</f>
        <v>0</v>
      </c>
      <c r="P387" s="135">
        <f>P388</f>
        <v>0</v>
      </c>
      <c r="Q387" s="129">
        <f>N387+O387+P387</f>
        <v>0</v>
      </c>
      <c r="R387" s="128">
        <f t="shared" si="181"/>
        <v>0</v>
      </c>
      <c r="S387" s="128">
        <f t="shared" si="181"/>
        <v>0</v>
      </c>
      <c r="T387" s="128">
        <f t="shared" si="181"/>
        <v>0</v>
      </c>
      <c r="U387" s="129">
        <f t="shared" si="182"/>
        <v>0</v>
      </c>
    </row>
    <row r="388" spans="1:21" ht="12.75" hidden="1">
      <c r="A388" s="88" t="s">
        <v>108</v>
      </c>
      <c r="B388" s="55">
        <v>244</v>
      </c>
      <c r="C388" s="56" t="s">
        <v>109</v>
      </c>
      <c r="D388" s="52"/>
      <c r="E388" s="176">
        <f>I388+M388+Q388+U388</f>
        <v>0</v>
      </c>
      <c r="F388" s="126">
        <f>F393</f>
        <v>0</v>
      </c>
      <c r="G388" s="126">
        <f>G393</f>
        <v>0</v>
      </c>
      <c r="H388" s="126">
        <f>H393</f>
        <v>0</v>
      </c>
      <c r="I388" s="127">
        <f>SUM(F388:H388)</f>
        <v>0</v>
      </c>
      <c r="J388" s="145">
        <f>J393</f>
        <v>0</v>
      </c>
      <c r="K388" s="141">
        <f>K393</f>
        <v>0</v>
      </c>
      <c r="L388" s="133">
        <f>L393</f>
        <v>0</v>
      </c>
      <c r="M388" s="127">
        <f>SUM(J388:L388)</f>
        <v>0</v>
      </c>
      <c r="N388" s="141">
        <v>0</v>
      </c>
      <c r="O388" s="131">
        <v>0</v>
      </c>
      <c r="P388" s="131">
        <v>0</v>
      </c>
      <c r="Q388" s="127">
        <f>SUM(N388:P388)</f>
        <v>0</v>
      </c>
      <c r="R388" s="126">
        <f>R393</f>
        <v>0</v>
      </c>
      <c r="S388" s="126">
        <f>S393</f>
        <v>0</v>
      </c>
      <c r="T388" s="126">
        <f>50-50</f>
        <v>0</v>
      </c>
      <c r="U388" s="127">
        <f t="shared" si="182"/>
        <v>0</v>
      </c>
    </row>
    <row r="389" spans="1:21" ht="30.75" hidden="1">
      <c r="A389" s="90" t="s">
        <v>233</v>
      </c>
      <c r="B389" s="55">
        <v>240</v>
      </c>
      <c r="C389" s="56"/>
      <c r="D389" s="53"/>
      <c r="E389" s="176">
        <f>I389+M389+Q389+U389</f>
        <v>0</v>
      </c>
      <c r="F389" s="128">
        <f t="shared" si="180"/>
        <v>0</v>
      </c>
      <c r="G389" s="128">
        <f t="shared" si="180"/>
        <v>0</v>
      </c>
      <c r="H389" s="128">
        <f t="shared" si="180"/>
        <v>0</v>
      </c>
      <c r="I389" s="129">
        <f>SUM(F389:H389)</f>
        <v>0</v>
      </c>
      <c r="J389" s="144">
        <f>J390</f>
        <v>0</v>
      </c>
      <c r="K389" s="143">
        <f>K390</f>
        <v>0</v>
      </c>
      <c r="L389" s="135">
        <f>L390</f>
        <v>0</v>
      </c>
      <c r="M389" s="129">
        <f>SUM(J389:L389)</f>
        <v>0</v>
      </c>
      <c r="N389" s="143">
        <f>N390</f>
        <v>0</v>
      </c>
      <c r="O389" s="135">
        <f>O390</f>
        <v>0</v>
      </c>
      <c r="P389" s="135">
        <f>P390</f>
        <v>0</v>
      </c>
      <c r="Q389" s="129">
        <f>SUM(N389:P389)</f>
        <v>0</v>
      </c>
      <c r="R389" s="128">
        <f t="shared" si="181"/>
        <v>0</v>
      </c>
      <c r="S389" s="128">
        <f t="shared" si="181"/>
        <v>0</v>
      </c>
      <c r="T389" s="128">
        <f t="shared" si="181"/>
        <v>0</v>
      </c>
      <c r="U389" s="129">
        <f t="shared" si="182"/>
        <v>0</v>
      </c>
    </row>
    <row r="390" spans="1:21" ht="12.75" hidden="1">
      <c r="A390" s="88" t="s">
        <v>224</v>
      </c>
      <c r="B390" s="55">
        <v>244</v>
      </c>
      <c r="C390" s="56" t="s">
        <v>103</v>
      </c>
      <c r="D390" s="52"/>
      <c r="E390" s="176">
        <f>I390+M390+Q390+U390</f>
        <v>0</v>
      </c>
      <c r="F390" s="128">
        <v>0</v>
      </c>
      <c r="G390" s="128">
        <v>0</v>
      </c>
      <c r="H390" s="128">
        <v>0</v>
      </c>
      <c r="I390" s="129">
        <f>SUM(F390:H390)</f>
        <v>0</v>
      </c>
      <c r="J390" s="144"/>
      <c r="K390" s="143"/>
      <c r="L390" s="143">
        <f>100-100</f>
        <v>0</v>
      </c>
      <c r="M390" s="129">
        <f>SUM(J390:L390)</f>
        <v>0</v>
      </c>
      <c r="N390" s="143">
        <v>0</v>
      </c>
      <c r="O390" s="135">
        <v>0</v>
      </c>
      <c r="P390" s="135">
        <v>0</v>
      </c>
      <c r="Q390" s="129">
        <f>SUM(N390:P390)</f>
        <v>0</v>
      </c>
      <c r="R390" s="128">
        <v>0</v>
      </c>
      <c r="S390" s="128">
        <v>0</v>
      </c>
      <c r="T390" s="128">
        <v>0</v>
      </c>
      <c r="U390" s="129">
        <f t="shared" si="182"/>
        <v>0</v>
      </c>
    </row>
    <row r="391" spans="1:21" ht="12.75">
      <c r="A391" s="88"/>
      <c r="B391" s="55"/>
      <c r="C391" s="56"/>
      <c r="D391" s="52"/>
      <c r="E391" s="175"/>
      <c r="F391" s="112"/>
      <c r="G391" s="112"/>
      <c r="H391" s="112"/>
      <c r="I391" s="113"/>
      <c r="J391" s="144"/>
      <c r="K391" s="155"/>
      <c r="L391" s="155"/>
      <c r="M391" s="113"/>
      <c r="N391" s="143"/>
      <c r="O391" s="155"/>
      <c r="P391" s="155"/>
      <c r="Q391" s="113"/>
      <c r="R391" s="112"/>
      <c r="S391" s="112"/>
      <c r="T391" s="112"/>
      <c r="U391" s="113"/>
    </row>
    <row r="392" spans="1:21" ht="23.25" customHeight="1" hidden="1">
      <c r="A392" s="94" t="s">
        <v>256</v>
      </c>
      <c r="B392" s="65"/>
      <c r="C392" s="66"/>
      <c r="D392" s="67"/>
      <c r="E392" s="177">
        <f>M392+Q392+U392</f>
        <v>0</v>
      </c>
      <c r="F392" s="114">
        <f aca="true" t="shared" si="183" ref="F392:H393">F393</f>
        <v>0</v>
      </c>
      <c r="G392" s="114">
        <f t="shared" si="183"/>
        <v>0</v>
      </c>
      <c r="H392" s="114">
        <f t="shared" si="183"/>
        <v>0</v>
      </c>
      <c r="I392" s="114">
        <f>F392+G392+H392</f>
        <v>0</v>
      </c>
      <c r="J392" s="142">
        <f aca="true" t="shared" si="184" ref="J392:L393">J393</f>
        <v>0</v>
      </c>
      <c r="K392" s="142">
        <f t="shared" si="184"/>
        <v>0</v>
      </c>
      <c r="L392" s="142">
        <f t="shared" si="184"/>
        <v>0</v>
      </c>
      <c r="M392" s="114">
        <f>J392+K392+L392</f>
        <v>0</v>
      </c>
      <c r="N392" s="170">
        <f aca="true" t="shared" si="185" ref="N392:P393">N393</f>
        <v>0</v>
      </c>
      <c r="O392" s="142">
        <f t="shared" si="185"/>
        <v>0</v>
      </c>
      <c r="P392" s="142">
        <f t="shared" si="185"/>
        <v>0</v>
      </c>
      <c r="Q392" s="114">
        <f>N392+O392+P392</f>
        <v>0</v>
      </c>
      <c r="R392" s="114">
        <f aca="true" t="shared" si="186" ref="R392:T393">R393</f>
        <v>0</v>
      </c>
      <c r="S392" s="114">
        <f t="shared" si="186"/>
        <v>0</v>
      </c>
      <c r="T392" s="114">
        <f t="shared" si="186"/>
        <v>0</v>
      </c>
      <c r="U392" s="114">
        <f>SUM(R392:T392)</f>
        <v>0</v>
      </c>
    </row>
    <row r="393" spans="1:21" ht="21" customHeight="1" hidden="1">
      <c r="A393" s="89" t="s">
        <v>257</v>
      </c>
      <c r="B393" s="55">
        <v>800</v>
      </c>
      <c r="C393" s="56"/>
      <c r="D393" s="52"/>
      <c r="E393" s="148">
        <f>I393+M393+Q393+U393</f>
        <v>0</v>
      </c>
      <c r="F393" s="110">
        <f t="shared" si="183"/>
        <v>0</v>
      </c>
      <c r="G393" s="110">
        <f t="shared" si="183"/>
        <v>0</v>
      </c>
      <c r="H393" s="110">
        <f t="shared" si="183"/>
        <v>0</v>
      </c>
      <c r="I393" s="110">
        <f>SUM(F393:H393)</f>
        <v>0</v>
      </c>
      <c r="J393" s="132">
        <f t="shared" si="184"/>
        <v>0</v>
      </c>
      <c r="K393" s="132">
        <f t="shared" si="184"/>
        <v>0</v>
      </c>
      <c r="L393" s="132">
        <f t="shared" si="184"/>
        <v>0</v>
      </c>
      <c r="M393" s="110">
        <f>SUM(J393:L393)</f>
        <v>0</v>
      </c>
      <c r="N393" s="97">
        <f t="shared" si="185"/>
        <v>0</v>
      </c>
      <c r="O393" s="132">
        <f t="shared" si="185"/>
        <v>0</v>
      </c>
      <c r="P393" s="132">
        <f t="shared" si="185"/>
        <v>0</v>
      </c>
      <c r="Q393" s="110">
        <f>SUM(N393:P393)</f>
        <v>0</v>
      </c>
      <c r="R393" s="110">
        <f t="shared" si="186"/>
        <v>0</v>
      </c>
      <c r="S393" s="110">
        <f t="shared" si="186"/>
        <v>0</v>
      </c>
      <c r="T393" s="110">
        <f t="shared" si="186"/>
        <v>0</v>
      </c>
      <c r="U393" s="110">
        <f>SUM(R393:T393)</f>
        <v>0</v>
      </c>
    </row>
    <row r="394" spans="1:21" ht="13.5" customHeight="1" hidden="1">
      <c r="A394" s="88" t="s">
        <v>133</v>
      </c>
      <c r="B394" s="55">
        <v>880</v>
      </c>
      <c r="C394" s="56" t="s">
        <v>107</v>
      </c>
      <c r="D394" s="52"/>
      <c r="E394" s="147">
        <f>I394+M394+Q394+U394</f>
        <v>0</v>
      </c>
      <c r="F394" s="111"/>
      <c r="G394" s="111"/>
      <c r="H394" s="111"/>
      <c r="I394" s="110">
        <f>SUM(F394:H394)</f>
        <v>0</v>
      </c>
      <c r="J394" s="140"/>
      <c r="K394" s="140"/>
      <c r="L394" s="140"/>
      <c r="M394" s="110">
        <f>SUM(J394:L394)</f>
        <v>0</v>
      </c>
      <c r="N394" s="141"/>
      <c r="O394" s="140"/>
      <c r="P394" s="140"/>
      <c r="Q394" s="110">
        <f>SUM(N394:P394)</f>
        <v>0</v>
      </c>
      <c r="R394" s="111"/>
      <c r="S394" s="111"/>
      <c r="T394" s="111"/>
      <c r="U394" s="110">
        <f>SUM(R394:T394)</f>
        <v>0</v>
      </c>
    </row>
    <row r="395" spans="1:24" ht="24" customHeight="1">
      <c r="A395" s="95" t="s">
        <v>131</v>
      </c>
      <c r="B395" s="68"/>
      <c r="C395" s="69"/>
      <c r="D395" s="61"/>
      <c r="E395" s="98">
        <f>I395+M395+Q395+U395</f>
        <v>83427.35105</v>
      </c>
      <c r="F395" s="98">
        <f>F17+F32+F37+F44+F46+F49+F95+F104+F112+F167+F183+F205+F242+F251+F258+F340+F344+F348+F353+F325+F54+F85+F89+F342+F248+F392+F91+F93+F327+F227+F329+F335</f>
        <v>1856.8204799999999</v>
      </c>
      <c r="G395" s="98">
        <f>G17+G32+G37+G44+G46+G49+G95+G104+G112+G167+G183+G205+G242+G251+G258+G340+G344+G348+G353+G325+G54+G85+G89+G342+G248+G392+G91+G93+G327+G227+G329+G335</f>
        <v>3888.9676799999997</v>
      </c>
      <c r="H395" s="98">
        <f>H17+H32+H37+H44+H46+H49+H95+H104+H112+H167+H183+H205+H242+H251+H258+H340+H344+H348+H353+H325+H54+H85+H89+H342+H248+H392+H91+H93+H327+H227+H329+H335</f>
        <v>4243.90985</v>
      </c>
      <c r="I395" s="98">
        <f>SUM(F395:H395)</f>
        <v>9989.69801</v>
      </c>
      <c r="J395" s="98">
        <f>J17+J32+J37+J44+J46+J49+J95+J104+J112+J167+J183+J205+J242+J251+J258+J340+J344+J348+J353+J325+J54+J85+J89+J342+J248+J392+J91+J93+J327+J227+J329+J335</f>
        <v>5321.728050000001</v>
      </c>
      <c r="K395" s="226">
        <f>K17+K32+K37+K44+K46+K49+K95+K104+K112+K167+K183+K205+K242+K251+K258+K340+K344+K348+K353+K325+K54+K85+K89+K342+K248+K392+K91+K93+K327+K227+K329+K335</f>
        <v>4205.0743</v>
      </c>
      <c r="L395" s="98">
        <f>L17+L32+L37+L44+L46+L49+L95+L104+L112+L167+L183+L205+L242+L251+L258+L340+L344+L348+L353+L325+L54+L85+L89+L342+L248+L392+L91+L93+L327+L227+L329+L335</f>
        <v>6952.35981</v>
      </c>
      <c r="M395" s="98">
        <f>SUM(J395:L395)</f>
        <v>16479.16216</v>
      </c>
      <c r="N395" s="98">
        <f>N17+N32+N37+N44+N46+N49+N95+N104+N112+N167+N183+N205+N242+N251+N258+N340+N344+N348+N353+N325+N54+N85+N89+N342+N248+N392+N91+N93+N327+N227+N329+N335</f>
        <v>3113.18278</v>
      </c>
      <c r="O395" s="159">
        <f>O17+O32+O37+O44+O46+O49+O95+O104+O112+O167+O183+O205+O242+O251+O258+O340+O344+O348+O353+O325+O54+O85+O89+O342+O248+O392+O91+O93+O327+O227+O329+O335</f>
        <v>18850.84892</v>
      </c>
      <c r="P395" s="159">
        <f>P17+P32+P37+P44+P46+P49+P95+P104+P112+P167+P183+P205+P242+P251+P258+P340+P344+P348+P353+P325+P54+P85+P89+P342+P248+P392+P91+P93+P327+P227+P329+P335</f>
        <v>5716.60062</v>
      </c>
      <c r="Q395" s="98">
        <f>SUM(N395:P395)</f>
        <v>27680.63232</v>
      </c>
      <c r="R395" s="98">
        <f>R17+R32+R37+R44+R46+R49+R95+R104+R112+R167+R183+R205+R242+R251+R258+R340+R344+R348+R353+R325+R54+R85+R89+R342+R248+R392+R91+R93+R327+R227+R329+R335</f>
        <v>19055.23667</v>
      </c>
      <c r="S395" s="98">
        <f>S17+S32+S37+S44+S46+S49+S95+S104+S112+S167+S183+S205+S242+S251+S258+S340+S344+S348+S353+S325+S54+S85+S89+S342+S248+S392+S91+S93+S327+S227+S329+S335</f>
        <v>5672.757710000001</v>
      </c>
      <c r="T395" s="98">
        <f>T17+T32+T37+T44+T46+T49+T95+T104+T112+T167+T183+T205+T242+T251+T258+T340+T344+T348+T353+T325+T54+T85+T89+T342+T248+T392+T91+T93+T327+T227+T329+T335</f>
        <v>4549.86418</v>
      </c>
      <c r="U395" s="98">
        <f>SUM(R395:T395)</f>
        <v>29277.85856</v>
      </c>
      <c r="X395" s="71"/>
    </row>
    <row r="396" spans="1:21" ht="21">
      <c r="A396" s="88" t="s">
        <v>57</v>
      </c>
      <c r="B396" s="55"/>
      <c r="C396" s="56" t="s">
        <v>31</v>
      </c>
      <c r="D396" s="52"/>
      <c r="E396" s="110"/>
      <c r="F396" s="111"/>
      <c r="G396" s="111"/>
      <c r="H396" s="111"/>
      <c r="I396" s="110"/>
      <c r="J396" s="140"/>
      <c r="K396" s="141"/>
      <c r="L396" s="140"/>
      <c r="M396" s="146"/>
      <c r="N396" s="140"/>
      <c r="O396" s="140"/>
      <c r="P396" s="140"/>
      <c r="Q396" s="110"/>
      <c r="R396" s="111"/>
      <c r="S396" s="111"/>
      <c r="T396" s="111"/>
      <c r="U396" s="110"/>
    </row>
    <row r="397" spans="1:21" ht="20.25" customHeight="1">
      <c r="A397" s="88" t="s">
        <v>22</v>
      </c>
      <c r="B397" s="55"/>
      <c r="C397" s="56" t="s">
        <v>32</v>
      </c>
      <c r="D397" s="52"/>
      <c r="E397" s="146"/>
      <c r="F397" s="111"/>
      <c r="G397" s="111"/>
      <c r="H397" s="111"/>
      <c r="I397" s="110"/>
      <c r="J397" s="141"/>
      <c r="K397" s="141"/>
      <c r="L397" s="140"/>
      <c r="M397" s="82"/>
      <c r="N397" s="141"/>
      <c r="O397" s="174"/>
      <c r="P397" s="140"/>
      <c r="Q397" s="110"/>
      <c r="R397" s="111"/>
      <c r="S397" s="111"/>
      <c r="T397" s="111"/>
      <c r="U397" s="110"/>
    </row>
    <row r="398" spans="1:21" ht="12.75">
      <c r="A398" s="88" t="s">
        <v>23</v>
      </c>
      <c r="B398" s="55"/>
      <c r="C398" s="56" t="s">
        <v>33</v>
      </c>
      <c r="D398" s="52"/>
      <c r="E398" s="110"/>
      <c r="F398" s="111"/>
      <c r="G398" s="111"/>
      <c r="H398" s="111"/>
      <c r="I398" s="110"/>
      <c r="J398" s="140"/>
      <c r="K398" s="140"/>
      <c r="L398" s="140"/>
      <c r="M398" s="110"/>
      <c r="N398" s="140"/>
      <c r="O398" s="140"/>
      <c r="P398" s="140"/>
      <c r="Q398" s="115"/>
      <c r="R398" s="111"/>
      <c r="S398" s="111"/>
      <c r="T398" s="111"/>
      <c r="U398" s="115"/>
    </row>
    <row r="399" spans="1:21" ht="12.75">
      <c r="A399" s="88" t="s">
        <v>24</v>
      </c>
      <c r="B399" s="55"/>
      <c r="C399" s="56" t="s">
        <v>34</v>
      </c>
      <c r="D399" s="52"/>
      <c r="E399" s="149"/>
      <c r="F399" s="96"/>
      <c r="G399" s="96"/>
      <c r="H399" s="96"/>
      <c r="I399" s="108"/>
      <c r="J399" s="141"/>
      <c r="K399" s="96"/>
      <c r="L399" s="96"/>
      <c r="M399" s="97"/>
      <c r="N399" s="96"/>
      <c r="O399" s="96"/>
      <c r="P399" s="96"/>
      <c r="Q399" s="82"/>
      <c r="R399" s="52"/>
      <c r="S399" s="52"/>
      <c r="T399" s="52"/>
      <c r="U399" s="82"/>
    </row>
    <row r="400" spans="1:21" ht="33" customHeight="1">
      <c r="A400" s="88" t="s">
        <v>25</v>
      </c>
      <c r="B400" s="55"/>
      <c r="C400" s="56" t="s">
        <v>35</v>
      </c>
      <c r="D400" s="52"/>
      <c r="E400" s="108"/>
      <c r="F400" s="96"/>
      <c r="G400" s="96"/>
      <c r="H400" s="96"/>
      <c r="I400" s="108"/>
      <c r="J400" s="96"/>
      <c r="K400" s="96"/>
      <c r="L400" s="96"/>
      <c r="M400" s="108"/>
      <c r="N400" s="96"/>
      <c r="O400" s="96"/>
      <c r="P400" s="96"/>
      <c r="Q400" s="82"/>
      <c r="R400" s="52"/>
      <c r="S400" s="52"/>
      <c r="T400" s="52"/>
      <c r="U400" s="53"/>
    </row>
    <row r="401" spans="2:13" ht="12.75">
      <c r="B401" s="70"/>
      <c r="C401" s="70"/>
      <c r="D401" s="70"/>
      <c r="E401" s="85"/>
      <c r="H401" s="85"/>
      <c r="I401" s="85"/>
      <c r="M401" s="85"/>
    </row>
    <row r="402" spans="2:4" ht="9" customHeight="1">
      <c r="B402" s="70"/>
      <c r="C402" s="70"/>
      <c r="D402" s="70"/>
    </row>
    <row r="403" spans="1:4" ht="12.75">
      <c r="A403" s="85" t="s">
        <v>165</v>
      </c>
      <c r="B403" s="70"/>
      <c r="C403" s="70"/>
      <c r="D403" s="70"/>
    </row>
    <row r="404" spans="2:9" ht="12.75">
      <c r="B404" s="70"/>
      <c r="C404" s="70"/>
      <c r="D404" s="70"/>
      <c r="I404" s="84"/>
    </row>
    <row r="405" spans="2:4" ht="12.75">
      <c r="B405" s="70"/>
      <c r="C405" s="70"/>
      <c r="D405" s="70"/>
    </row>
  </sheetData>
  <sheetProtection/>
  <mergeCells count="32">
    <mergeCell ref="C339:D339"/>
    <mergeCell ref="C380:D380"/>
    <mergeCell ref="C340:D340"/>
    <mergeCell ref="C341:D341"/>
    <mergeCell ref="C342:D342"/>
    <mergeCell ref="C343:D343"/>
    <mergeCell ref="C381:D381"/>
    <mergeCell ref="E8:E9"/>
    <mergeCell ref="N8:P8"/>
    <mergeCell ref="Q8:Q9"/>
    <mergeCell ref="B8:B9"/>
    <mergeCell ref="C295:D295"/>
    <mergeCell ref="C296:D296"/>
    <mergeCell ref="C377:D377"/>
    <mergeCell ref="C378:D378"/>
    <mergeCell ref="C379:D379"/>
    <mergeCell ref="R8:T8"/>
    <mergeCell ref="U8:U9"/>
    <mergeCell ref="F8:H8"/>
    <mergeCell ref="I8:I9"/>
    <mergeCell ref="J8:L8"/>
    <mergeCell ref="M8:M9"/>
    <mergeCell ref="C353:D353"/>
    <mergeCell ref="C354:D354"/>
    <mergeCell ref="C2:K2"/>
    <mergeCell ref="A8:A9"/>
    <mergeCell ref="C8:C9"/>
    <mergeCell ref="D8:D9"/>
    <mergeCell ref="C335:D335"/>
    <mergeCell ref="C336:D336"/>
    <mergeCell ref="C337:D337"/>
    <mergeCell ref="C338:D338"/>
  </mergeCells>
  <printOptions horizontalCentered="1"/>
  <pageMargins left="0" right="0.1968503937007874" top="0.4724409448818898" bottom="0.2755905511811024" header="0.5118110236220472" footer="0.1968503937007874"/>
  <pageSetup fitToHeight="0" fitToWidth="1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I9" sqref="I9"/>
    </sheetView>
  </sheetViews>
  <sheetFormatPr defaultColWidth="9.125" defaultRowHeight="12.75"/>
  <cols>
    <col min="1" max="1" width="15.50390625" style="1" customWidth="1"/>
    <col min="2" max="2" width="7.00390625" style="1" bestFit="1" customWidth="1"/>
    <col min="3" max="3" width="8.375" style="1" bestFit="1" customWidth="1"/>
    <col min="4" max="4" width="5.00390625" style="1" bestFit="1" customWidth="1"/>
    <col min="5" max="5" width="7.00390625" style="1" bestFit="1" customWidth="1"/>
    <col min="6" max="6" width="4.375" style="1" bestFit="1" customWidth="1"/>
    <col min="7" max="8" width="5.50390625" style="1" bestFit="1" customWidth="1"/>
    <col min="9" max="9" width="6.50390625" style="1" bestFit="1" customWidth="1"/>
    <col min="10" max="10" width="8.625" style="1" bestFit="1" customWidth="1"/>
    <col min="11" max="11" width="7.50390625" style="1" bestFit="1" customWidth="1"/>
    <col min="12" max="12" width="6.50390625" style="1" customWidth="1"/>
    <col min="13" max="13" width="7.875" style="1" customWidth="1"/>
    <col min="14" max="16384" width="9.125" style="1" customWidth="1"/>
  </cols>
  <sheetData>
    <row r="1" ht="12.75">
      <c r="I1" s="18" t="s">
        <v>54</v>
      </c>
    </row>
    <row r="2" ht="12.75">
      <c r="I2" s="18" t="s">
        <v>0</v>
      </c>
    </row>
    <row r="3" ht="12.75">
      <c r="I3" s="18" t="s">
        <v>1</v>
      </c>
    </row>
    <row r="4" ht="12.75">
      <c r="I4" s="18" t="s">
        <v>2</v>
      </c>
    </row>
    <row r="5" ht="12.75">
      <c r="I5" s="18" t="s">
        <v>3</v>
      </c>
    </row>
    <row r="6" ht="12.75">
      <c r="I6" s="18" t="s">
        <v>73</v>
      </c>
    </row>
    <row r="7" ht="12.75">
      <c r="I7" s="18" t="s">
        <v>74</v>
      </c>
    </row>
    <row r="8" ht="12.75">
      <c r="I8" s="18" t="s">
        <v>88</v>
      </c>
    </row>
    <row r="10" spans="1:13" ht="17.25">
      <c r="A10" s="183" t="s">
        <v>53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</row>
    <row r="11" spans="1:13" ht="18.75">
      <c r="A11" s="183" t="s">
        <v>64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</row>
    <row r="12" spans="1:13" ht="17.25">
      <c r="A12" s="183" t="s">
        <v>76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</row>
    <row r="13" spans="1:13" ht="17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ht="13.5" thickBot="1">
      <c r="M14" s="8" t="s">
        <v>39</v>
      </c>
    </row>
    <row r="15" spans="1:13" ht="12.75">
      <c r="A15" s="1" t="s">
        <v>68</v>
      </c>
      <c r="L15" s="2" t="s">
        <v>51</v>
      </c>
      <c r="M15" s="10"/>
    </row>
    <row r="16" spans="1:13" ht="15">
      <c r="A16" s="1" t="s">
        <v>65</v>
      </c>
      <c r="L16" s="2" t="s">
        <v>37</v>
      </c>
      <c r="M16" s="11"/>
    </row>
    <row r="17" spans="1:13" ht="13.5" thickBot="1">
      <c r="A17" s="1" t="s">
        <v>48</v>
      </c>
      <c r="M17" s="12"/>
    </row>
    <row r="19" spans="1:65" ht="15">
      <c r="A19" s="205" t="s">
        <v>66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</row>
    <row r="20" ht="6" customHeight="1" thickBot="1"/>
    <row r="21" spans="1:13" ht="12.75" customHeight="1">
      <c r="A21" s="209" t="s">
        <v>67</v>
      </c>
      <c r="B21" s="203" t="s">
        <v>52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4"/>
    </row>
    <row r="22" spans="1:13" s="3" customFormat="1" ht="12.75">
      <c r="A22" s="210"/>
      <c r="B22" s="21">
        <v>1</v>
      </c>
      <c r="C22" s="21">
        <v>2</v>
      </c>
      <c r="D22" s="21">
        <v>3</v>
      </c>
      <c r="E22" s="21">
        <v>4</v>
      </c>
      <c r="F22" s="21">
        <v>5</v>
      </c>
      <c r="G22" s="21">
        <v>6</v>
      </c>
      <c r="H22" s="21">
        <v>7</v>
      </c>
      <c r="I22" s="21">
        <v>8</v>
      </c>
      <c r="J22" s="21">
        <v>9</v>
      </c>
      <c r="K22" s="21">
        <v>10</v>
      </c>
      <c r="L22" s="21">
        <v>11</v>
      </c>
      <c r="M22" s="22">
        <v>12</v>
      </c>
    </row>
    <row r="23" spans="1:13" s="3" customFormat="1" ht="13.5" thickBot="1">
      <c r="A23" s="211"/>
      <c r="B23" s="8" t="s">
        <v>6</v>
      </c>
      <c r="C23" s="8" t="s">
        <v>7</v>
      </c>
      <c r="D23" s="8" t="s">
        <v>8</v>
      </c>
      <c r="E23" s="8" t="s">
        <v>10</v>
      </c>
      <c r="F23" s="8" t="s">
        <v>11</v>
      </c>
      <c r="G23" s="8" t="s">
        <v>12</v>
      </c>
      <c r="H23" s="8" t="s">
        <v>13</v>
      </c>
      <c r="I23" s="8" t="s">
        <v>14</v>
      </c>
      <c r="J23" s="8" t="s">
        <v>15</v>
      </c>
      <c r="K23" s="8" t="s">
        <v>16</v>
      </c>
      <c r="L23" s="8" t="s">
        <v>17</v>
      </c>
      <c r="M23" s="9" t="s">
        <v>18</v>
      </c>
    </row>
    <row r="24" spans="1:1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7" spans="1:13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66" ht="12.75">
      <c r="A28" s="216" t="s">
        <v>81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</row>
    <row r="29" spans="1:66" ht="6" customHeight="1" thickBo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</row>
    <row r="30" spans="1:13" ht="12.75">
      <c r="A30" s="206" t="s">
        <v>83</v>
      </c>
      <c r="B30" s="213" t="s">
        <v>52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5"/>
    </row>
    <row r="31" spans="1:13" s="3" customFormat="1" ht="12.75">
      <c r="A31" s="207"/>
      <c r="B31" s="33">
        <v>1</v>
      </c>
      <c r="C31" s="33">
        <v>2</v>
      </c>
      <c r="D31" s="33">
        <v>3</v>
      </c>
      <c r="E31" s="33">
        <v>4</v>
      </c>
      <c r="F31" s="33">
        <v>5</v>
      </c>
      <c r="G31" s="33">
        <v>6</v>
      </c>
      <c r="H31" s="33">
        <v>7</v>
      </c>
      <c r="I31" s="33">
        <v>8</v>
      </c>
      <c r="J31" s="33">
        <v>9</v>
      </c>
      <c r="K31" s="33">
        <v>10</v>
      </c>
      <c r="L31" s="33">
        <v>11</v>
      </c>
      <c r="M31" s="34">
        <v>12</v>
      </c>
    </row>
    <row r="32" spans="1:13" s="3" customFormat="1" ht="13.5" thickBot="1">
      <c r="A32" s="208"/>
      <c r="B32" s="8" t="s">
        <v>6</v>
      </c>
      <c r="C32" s="8" t="s">
        <v>7</v>
      </c>
      <c r="D32" s="8" t="s">
        <v>8</v>
      </c>
      <c r="E32" s="8" t="s">
        <v>10</v>
      </c>
      <c r="F32" s="8" t="s">
        <v>11</v>
      </c>
      <c r="G32" s="8" t="s">
        <v>12</v>
      </c>
      <c r="H32" s="8" t="s">
        <v>13</v>
      </c>
      <c r="I32" s="8" t="s">
        <v>14</v>
      </c>
      <c r="J32" s="8" t="s">
        <v>15</v>
      </c>
      <c r="K32" s="8" t="s">
        <v>16</v>
      </c>
      <c r="L32" s="8" t="s">
        <v>17</v>
      </c>
      <c r="M32" s="9" t="s">
        <v>18</v>
      </c>
    </row>
    <row r="33" spans="1:1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6" spans="1:13" ht="39.75" customHeight="1">
      <c r="A36" s="218" t="s">
        <v>77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</row>
    <row r="37" spans="1:13" ht="40.5" customHeight="1">
      <c r="A37" s="217" t="s">
        <v>78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</row>
    <row r="38" ht="15">
      <c r="A38" s="35" t="s">
        <v>72</v>
      </c>
    </row>
    <row r="39" spans="1:13" ht="27" customHeight="1">
      <c r="A39" s="217" t="s">
        <v>80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</row>
    <row r="40" spans="1:13" ht="15" customHeight="1">
      <c r="A40" s="217" t="s">
        <v>82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</row>
    <row r="42" spans="1:11" ht="24.75" customHeight="1">
      <c r="A42" s="212" t="s">
        <v>58</v>
      </c>
      <c r="B42" s="212"/>
      <c r="D42" s="15"/>
      <c r="E42" s="15"/>
      <c r="F42" s="16"/>
      <c r="G42" s="15"/>
      <c r="H42" s="15"/>
      <c r="I42" s="16"/>
      <c r="J42" s="15"/>
      <c r="K42" s="15"/>
    </row>
    <row r="43" spans="4:10" s="17" customFormat="1" ht="15">
      <c r="D43" s="17" t="s">
        <v>61</v>
      </c>
      <c r="G43" s="17" t="s">
        <v>62</v>
      </c>
      <c r="J43" s="17" t="s">
        <v>63</v>
      </c>
    </row>
    <row r="44" spans="1:11" ht="12.75">
      <c r="A44" s="1" t="s">
        <v>49</v>
      </c>
      <c r="D44" s="15"/>
      <c r="E44" s="15"/>
      <c r="G44" s="15"/>
      <c r="H44" s="15"/>
      <c r="I44" s="16"/>
      <c r="J44" s="15"/>
      <c r="K44" s="15"/>
    </row>
    <row r="45" spans="4:10" s="17" customFormat="1" ht="15">
      <c r="D45" s="17" t="s">
        <v>61</v>
      </c>
      <c r="G45" s="17" t="s">
        <v>62</v>
      </c>
      <c r="J45" s="17" t="s">
        <v>63</v>
      </c>
    </row>
    <row r="46" spans="1:3" ht="12.75">
      <c r="A46" s="1" t="s">
        <v>50</v>
      </c>
      <c r="C46" s="1" t="s">
        <v>60</v>
      </c>
    </row>
  </sheetData>
  <sheetProtection/>
  <mergeCells count="14">
    <mergeCell ref="A42:B42"/>
    <mergeCell ref="B30:M30"/>
    <mergeCell ref="A28:M28"/>
    <mergeCell ref="A40:M40"/>
    <mergeCell ref="A36:M36"/>
    <mergeCell ref="A37:M37"/>
    <mergeCell ref="A39:M39"/>
    <mergeCell ref="A10:M10"/>
    <mergeCell ref="A11:M11"/>
    <mergeCell ref="B21:M21"/>
    <mergeCell ref="A19:M19"/>
    <mergeCell ref="A30:A32"/>
    <mergeCell ref="A21:A23"/>
    <mergeCell ref="A12:M12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C9" sqref="C9"/>
    </sheetView>
  </sheetViews>
  <sheetFormatPr defaultColWidth="9.125" defaultRowHeight="12.75"/>
  <cols>
    <col min="1" max="1" width="35.375" style="1" customWidth="1"/>
    <col min="2" max="2" width="20.875" style="1" customWidth="1"/>
    <col min="3" max="3" width="6.50390625" style="1" customWidth="1"/>
    <col min="4" max="4" width="11.00390625" style="1" customWidth="1"/>
    <col min="5" max="5" width="18.50390625" style="1" customWidth="1"/>
    <col min="6" max="16384" width="9.125" style="1" customWidth="1"/>
  </cols>
  <sheetData>
    <row r="1" ht="12.75">
      <c r="C1" s="18" t="s">
        <v>59</v>
      </c>
    </row>
    <row r="2" ht="12.75">
      <c r="C2" s="18" t="s">
        <v>0</v>
      </c>
    </row>
    <row r="3" ht="12.75">
      <c r="C3" s="18" t="s">
        <v>1</v>
      </c>
    </row>
    <row r="4" ht="12.75">
      <c r="C4" s="18" t="s">
        <v>2</v>
      </c>
    </row>
    <row r="5" ht="12.75">
      <c r="C5" s="18" t="s">
        <v>3</v>
      </c>
    </row>
    <row r="6" ht="12.75">
      <c r="C6" s="18" t="s">
        <v>73</v>
      </c>
    </row>
    <row r="7" ht="12.75">
      <c r="C7" s="18" t="s">
        <v>74</v>
      </c>
    </row>
    <row r="8" ht="12.75">
      <c r="C8" s="18" t="s">
        <v>88</v>
      </c>
    </row>
    <row r="10" spans="1:5" s="26" customFormat="1" ht="60.75" customHeight="1">
      <c r="A10" s="222" t="s">
        <v>84</v>
      </c>
      <c r="B10" s="222"/>
      <c r="C10" s="223"/>
      <c r="D10" s="223"/>
      <c r="E10" s="223"/>
    </row>
    <row r="11" spans="1:5" ht="18">
      <c r="A11" s="223" t="s">
        <v>70</v>
      </c>
      <c r="B11" s="223"/>
      <c r="C11" s="223"/>
      <c r="D11" s="223"/>
      <c r="E11" s="223"/>
    </row>
    <row r="12" spans="1:2" ht="6.75" customHeight="1">
      <c r="A12" s="24"/>
      <c r="B12" s="24"/>
    </row>
    <row r="13" spans="1:5" ht="15">
      <c r="A13" s="223" t="s">
        <v>79</v>
      </c>
      <c r="B13" s="223"/>
      <c r="C13" s="223"/>
      <c r="D13" s="223"/>
      <c r="E13" s="223"/>
    </row>
    <row r="18" ht="12.75">
      <c r="A18" s="1" t="s">
        <v>68</v>
      </c>
    </row>
    <row r="19" ht="12.75">
      <c r="A19" s="1" t="s">
        <v>85</v>
      </c>
    </row>
    <row r="20" ht="12.75">
      <c r="A20" s="1" t="s">
        <v>48</v>
      </c>
    </row>
    <row r="23" spans="1:5" ht="12.75">
      <c r="A23" s="205"/>
      <c r="B23" s="205"/>
      <c r="C23" s="205"/>
      <c r="D23" s="205"/>
      <c r="E23" s="205"/>
    </row>
    <row r="24" ht="6.75" customHeight="1" thickBot="1"/>
    <row r="25" spans="1:5" ht="23.25" customHeight="1">
      <c r="A25" s="25" t="s">
        <v>87</v>
      </c>
      <c r="B25" s="213" t="s">
        <v>69</v>
      </c>
      <c r="C25" s="224"/>
      <c r="D25" s="213" t="s">
        <v>52</v>
      </c>
      <c r="E25" s="215"/>
    </row>
    <row r="26" spans="1:5" ht="13.5" thickBot="1">
      <c r="A26" s="7">
        <v>1</v>
      </c>
      <c r="B26" s="220">
        <v>2</v>
      </c>
      <c r="C26" s="225"/>
      <c r="D26" s="220">
        <v>3</v>
      </c>
      <c r="E26" s="221"/>
    </row>
    <row r="27" spans="1:5" ht="12.75">
      <c r="A27" s="6"/>
      <c r="B27" s="31"/>
      <c r="C27" s="27"/>
      <c r="D27" s="29"/>
      <c r="E27" s="27"/>
    </row>
    <row r="28" spans="1:5" ht="12.75">
      <c r="A28" s="5"/>
      <c r="B28" s="30"/>
      <c r="C28" s="28"/>
      <c r="D28" s="30"/>
      <c r="E28" s="28"/>
    </row>
    <row r="32" spans="1:14" ht="38.25" customHeight="1">
      <c r="A32" s="218" t="s">
        <v>71</v>
      </c>
      <c r="B32" s="219"/>
      <c r="C32" s="219"/>
      <c r="D32" s="219"/>
      <c r="E32" s="219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217" t="s">
        <v>86</v>
      </c>
      <c r="B33" s="212"/>
      <c r="C33" s="212"/>
      <c r="D33" s="212"/>
      <c r="E33" s="212"/>
      <c r="F33" s="14"/>
      <c r="G33" s="14"/>
      <c r="H33" s="14"/>
      <c r="I33" s="14"/>
      <c r="J33" s="14"/>
      <c r="K33" s="14"/>
      <c r="L33" s="14"/>
      <c r="M33" s="14"/>
      <c r="N33" s="14"/>
    </row>
    <row r="39" spans="1:5" ht="24.75" customHeight="1">
      <c r="A39" s="14" t="s">
        <v>58</v>
      </c>
      <c r="B39" s="15"/>
      <c r="C39" s="16"/>
      <c r="D39" s="15"/>
      <c r="E39" s="15"/>
    </row>
    <row r="40" spans="2:5" s="17" customFormat="1" ht="15">
      <c r="B40" s="17" t="s">
        <v>61</v>
      </c>
      <c r="C40" s="32"/>
      <c r="D40" s="17" t="s">
        <v>62</v>
      </c>
      <c r="E40" s="17" t="s">
        <v>63</v>
      </c>
    </row>
    <row r="41" spans="1:5" ht="12.75">
      <c r="A41" s="1" t="s">
        <v>49</v>
      </c>
      <c r="B41" s="15"/>
      <c r="C41" s="16"/>
      <c r="D41" s="15"/>
      <c r="E41" s="15"/>
    </row>
    <row r="42" spans="2:5" s="17" customFormat="1" ht="15">
      <c r="B42" s="17" t="s">
        <v>61</v>
      </c>
      <c r="C42" s="32"/>
      <c r="D42" s="17" t="s">
        <v>62</v>
      </c>
      <c r="E42" s="17" t="s">
        <v>63</v>
      </c>
    </row>
    <row r="43" s="17" customFormat="1" ht="15">
      <c r="C43" s="32"/>
    </row>
    <row r="44" s="17" customFormat="1" ht="15">
      <c r="C44" s="32"/>
    </row>
    <row r="45" s="17" customFormat="1" ht="15">
      <c r="C45" s="32"/>
    </row>
    <row r="46" spans="1:2" ht="12.75">
      <c r="A46" s="1" t="s">
        <v>50</v>
      </c>
      <c r="B46" s="1" t="s">
        <v>60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User</cp:lastModifiedBy>
  <cp:lastPrinted>2018-09-18T13:05:10Z</cp:lastPrinted>
  <dcterms:created xsi:type="dcterms:W3CDTF">2007-12-12T12:07:30Z</dcterms:created>
  <dcterms:modified xsi:type="dcterms:W3CDTF">2018-10-18T11:14:30Z</dcterms:modified>
  <cp:category/>
  <cp:version/>
  <cp:contentType/>
  <cp:contentStatus/>
</cp:coreProperties>
</file>